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0700" windowHeight="11745" activeTab="3"/>
  </bookViews>
  <sheets>
    <sheet name="allgemein" sheetId="4" r:id="rId1"/>
    <sheet name="Pythagoras" sheetId="2" r:id="rId2"/>
    <sheet name="Ditymos" sheetId="5" r:id="rId3"/>
    <sheet name="Archytas" sheetId="6" r:id="rId4"/>
    <sheet name="alle" sheetId="7" r:id="rId5"/>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 i="6"/>
  <c r="U12"/>
  <c r="U11"/>
  <c r="U10"/>
  <c r="U9"/>
  <c r="U8"/>
  <c r="U7"/>
  <c r="T13"/>
  <c r="T12"/>
  <c r="T11"/>
  <c r="T10"/>
  <c r="T9"/>
  <c r="T8"/>
  <c r="T7"/>
  <c r="S13"/>
  <c r="S12"/>
  <c r="S11"/>
  <c r="S10"/>
  <c r="S9"/>
  <c r="S8"/>
  <c r="S7"/>
  <c r="R13" i="5"/>
  <c r="R12"/>
  <c r="R11"/>
  <c r="R10"/>
  <c r="R8"/>
  <c r="R7"/>
  <c r="R6"/>
  <c r="Q13"/>
  <c r="Q12"/>
  <c r="Q11"/>
  <c r="Q10"/>
  <c r="Q7"/>
  <c r="Q8" s="1"/>
  <c r="Q6"/>
  <c r="P6"/>
  <c r="P7" s="1"/>
  <c r="P8" s="1"/>
  <c r="P10" s="1"/>
  <c r="P11" s="1"/>
  <c r="P12" s="1"/>
  <c r="P13" s="1"/>
  <c r="V11" i="2"/>
  <c r="V10"/>
  <c r="V9"/>
  <c r="V8"/>
  <c r="V7"/>
  <c r="V6"/>
  <c r="V5"/>
  <c r="R27"/>
  <c r="R26"/>
  <c r="R22"/>
  <c r="R25"/>
  <c r="R21"/>
  <c r="R24"/>
  <c r="S24" s="1"/>
  <c r="R23"/>
  <c r="S21"/>
  <c r="S20"/>
  <c r="S11"/>
  <c r="S5"/>
  <c r="S6"/>
  <c r="S7"/>
  <c r="S8"/>
  <c r="S9"/>
  <c r="S10"/>
  <c r="S4"/>
  <c r="K5"/>
  <c r="R11"/>
  <c r="R10"/>
  <c r="R9"/>
  <c r="R8"/>
  <c r="Q12"/>
  <c r="R7"/>
  <c r="R6"/>
  <c r="R5"/>
  <c r="N26" i="6"/>
  <c r="G11"/>
  <c r="K11" s="1"/>
  <c r="P10"/>
  <c r="L10"/>
  <c r="L11" s="1"/>
  <c r="K10"/>
  <c r="G10"/>
  <c r="B10"/>
  <c r="F10" s="1"/>
  <c r="L8"/>
  <c r="P8" s="1"/>
  <c r="P7"/>
  <c r="L7"/>
  <c r="G7"/>
  <c r="K7" s="1"/>
  <c r="B7"/>
  <c r="B8" s="1"/>
  <c r="P6"/>
  <c r="K6"/>
  <c r="F6"/>
  <c r="S26" i="2" l="1"/>
  <c r="S22"/>
  <c r="S25"/>
  <c r="S23"/>
  <c r="S27"/>
  <c r="B9" i="6"/>
  <c r="F9" s="1"/>
  <c r="F8"/>
  <c r="P11"/>
  <c r="L12"/>
  <c r="F7"/>
  <c r="G8"/>
  <c r="L9"/>
  <c r="P9" s="1"/>
  <c r="B11"/>
  <c r="G12"/>
  <c r="G13" l="1"/>
  <c r="K13" s="1"/>
  <c r="K12"/>
  <c r="P12"/>
  <c r="L13"/>
  <c r="P13" s="1"/>
  <c r="G9"/>
  <c r="K9" s="1"/>
  <c r="K8"/>
  <c r="B12"/>
  <c r="F11"/>
  <c r="B13" l="1"/>
  <c r="F13" s="1"/>
  <c r="F12"/>
  <c r="N6" i="5" l="1"/>
  <c r="N5"/>
  <c r="I5"/>
  <c r="F5"/>
  <c r="L6"/>
  <c r="L7" s="1"/>
  <c r="N7" s="1"/>
  <c r="G6"/>
  <c r="G7" s="1"/>
  <c r="I7" s="1"/>
  <c r="D6"/>
  <c r="D7" s="1"/>
  <c r="D8" s="1"/>
  <c r="L10"/>
  <c r="N10" s="1"/>
  <c r="G10"/>
  <c r="I10" s="1"/>
  <c r="D10"/>
  <c r="F10" s="1"/>
  <c r="N19" i="4"/>
  <c r="O19" s="1"/>
  <c r="N18"/>
  <c r="O18" s="1"/>
  <c r="O17"/>
  <c r="N17"/>
  <c r="N16"/>
  <c r="O16" s="1"/>
  <c r="N15"/>
  <c r="O15" s="1"/>
  <c r="N14"/>
  <c r="O14" s="1"/>
  <c r="O13"/>
  <c r="N13"/>
  <c r="N12"/>
  <c r="O12" s="1"/>
  <c r="O11"/>
  <c r="N11"/>
  <c r="K11"/>
  <c r="N10"/>
  <c r="O10" s="1"/>
  <c r="K10"/>
  <c r="O9"/>
  <c r="N9"/>
  <c r="K9"/>
  <c r="O8"/>
  <c r="N8"/>
  <c r="K8"/>
  <c r="N7"/>
  <c r="O7" s="1"/>
  <c r="K7"/>
  <c r="G7"/>
  <c r="N6"/>
  <c r="O6" s="1"/>
  <c r="K6"/>
  <c r="B6"/>
  <c r="B7" s="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13" i="2"/>
  <c r="C5"/>
  <c r="J5" s="1"/>
  <c r="B6"/>
  <c r="B7" s="1"/>
  <c r="G8" i="5" l="1"/>
  <c r="I8" s="1"/>
  <c r="G11"/>
  <c r="I11" s="1"/>
  <c r="L8"/>
  <c r="N8" s="1"/>
  <c r="L11"/>
  <c r="N11" s="1"/>
  <c r="D11"/>
  <c r="F11" s="1"/>
  <c r="I6"/>
  <c r="F8"/>
  <c r="F7"/>
  <c r="F6"/>
  <c r="B14" i="2"/>
  <c r="C14" s="1"/>
  <c r="J10" s="1"/>
  <c r="K10" s="1"/>
  <c r="C13"/>
  <c r="B8"/>
  <c r="C7"/>
  <c r="J7" s="1"/>
  <c r="K7" s="1"/>
  <c r="C6"/>
  <c r="J13" s="1"/>
  <c r="K13" s="1"/>
  <c r="L12" i="5" l="1"/>
  <c r="N12" s="1"/>
  <c r="D12"/>
  <c r="D13" s="1"/>
  <c r="G12"/>
  <c r="G13" s="1"/>
  <c r="I13" s="1"/>
  <c r="B15" i="2"/>
  <c r="B9"/>
  <c r="C8"/>
  <c r="J15" s="1"/>
  <c r="K15" s="1"/>
  <c r="I12" i="5" l="1"/>
  <c r="L13"/>
  <c r="N13" s="1"/>
  <c r="F12"/>
  <c r="B16" i="2"/>
  <c r="C16" s="1"/>
  <c r="J8" s="1"/>
  <c r="K8" s="1"/>
  <c r="C15"/>
  <c r="J16" s="1"/>
  <c r="K16" s="1"/>
  <c r="B10"/>
  <c r="C9"/>
  <c r="J9" s="1"/>
  <c r="K9" s="1"/>
  <c r="B17" l="1"/>
  <c r="C17" s="1"/>
  <c r="J14" s="1"/>
  <c r="K14" s="1"/>
  <c r="B11"/>
  <c r="C11" s="1"/>
  <c r="J11" s="1"/>
  <c r="K11" s="1"/>
  <c r="C10"/>
  <c r="J17" s="1"/>
  <c r="K17" s="1"/>
  <c r="B18" l="1"/>
  <c r="C18" s="1"/>
  <c r="J6" s="1"/>
  <c r="K6" s="1"/>
  <c r="B19" l="1"/>
  <c r="C19" s="1"/>
  <c r="J12" s="1"/>
  <c r="N13" l="1"/>
  <c r="N14"/>
  <c r="K12"/>
</calcChain>
</file>

<file path=xl/sharedStrings.xml><?xml version="1.0" encoding="utf-8"?>
<sst xmlns="http://schemas.openxmlformats.org/spreadsheetml/2006/main" count="341" uniqueCount="122">
  <si>
    <t>A3</t>
  </si>
  <si>
    <t>Hz</t>
  </si>
  <si>
    <t>A2</t>
  </si>
  <si>
    <t>A1</t>
  </si>
  <si>
    <t>A4</t>
  </si>
  <si>
    <t>A5</t>
  </si>
  <si>
    <t>A6</t>
  </si>
  <si>
    <t>Taste</t>
  </si>
  <si>
    <t>B</t>
  </si>
  <si>
    <t>H</t>
  </si>
  <si>
    <t>C#</t>
  </si>
  <si>
    <t>D</t>
  </si>
  <si>
    <t>D#</t>
  </si>
  <si>
    <t>E</t>
  </si>
  <si>
    <t>F</t>
  </si>
  <si>
    <t>F#</t>
  </si>
  <si>
    <t>G</t>
  </si>
  <si>
    <t>G#</t>
  </si>
  <si>
    <t>A</t>
  </si>
  <si>
    <t>Cent</t>
  </si>
  <si>
    <t>frqu1</t>
  </si>
  <si>
    <t>frqu2</t>
  </si>
  <si>
    <t>MSB</t>
  </si>
  <si>
    <t>LSB</t>
  </si>
  <si>
    <t>C1</t>
  </si>
  <si>
    <t>C2</t>
  </si>
  <si>
    <t>A7</t>
  </si>
  <si>
    <t>C7</t>
  </si>
  <si>
    <t>C3</t>
  </si>
  <si>
    <t>C4</t>
  </si>
  <si>
    <t>C5</t>
  </si>
  <si>
    <t>C6</t>
  </si>
  <si>
    <t>Berechnungen: Intervalle in Hz, Cent und Pitchbend</t>
  </si>
  <si>
    <t>Block 1</t>
  </si>
  <si>
    <t>Block2</t>
  </si>
  <si>
    <t>Block3</t>
  </si>
  <si>
    <t>Temperierte Skala:</t>
  </si>
  <si>
    <t>Pythagoras:</t>
  </si>
  <si>
    <t>C</t>
  </si>
  <si>
    <t>Es</t>
  </si>
  <si>
    <t>As</t>
  </si>
  <si>
    <t>Des</t>
  </si>
  <si>
    <t>Ges</t>
  </si>
  <si>
    <t>oktaviert</t>
  </si>
  <si>
    <t>367,5 zu 372,5</t>
  </si>
  <si>
    <t>Cent:</t>
  </si>
  <si>
    <t>Pyth.Komma (Ges zu F#)</t>
  </si>
  <si>
    <t>Dezimal:</t>
  </si>
  <si>
    <t>Die Quintenstimmung nach Pythagoras</t>
  </si>
  <si>
    <t>Zirkel</t>
  </si>
  <si>
    <t>Pythagoras-Rechnung:</t>
  </si>
  <si>
    <t>CENT</t>
  </si>
  <si>
    <t>diat</t>
  </si>
  <si>
    <t>chrom</t>
  </si>
  <si>
    <t>enhar</t>
  </si>
  <si>
    <t>e</t>
  </si>
  <si>
    <t>d</t>
  </si>
  <si>
    <t>c</t>
  </si>
  <si>
    <t>h</t>
  </si>
  <si>
    <t>a</t>
  </si>
  <si>
    <t>g</t>
  </si>
  <si>
    <t>f</t>
  </si>
  <si>
    <t>1 zu 1</t>
  </si>
  <si>
    <t>16 zu 15</t>
  </si>
  <si>
    <t>10 zu 9</t>
  </si>
  <si>
    <t>9 zu 8</t>
  </si>
  <si>
    <t>6 zu 5</t>
  </si>
  <si>
    <t>25 zu 24</t>
  </si>
  <si>
    <t>32 zu 31</t>
  </si>
  <si>
    <t>31 zu 30</t>
  </si>
  <si>
    <t>5 zu 4</t>
  </si>
  <si>
    <t>CENTabw</t>
  </si>
  <si>
    <t>9 zu8</t>
  </si>
  <si>
    <t>c#</t>
  </si>
  <si>
    <t>f#</t>
  </si>
  <si>
    <t>temp</t>
  </si>
  <si>
    <t>Enharmonisch</t>
  </si>
  <si>
    <t>Chromatisch</t>
  </si>
  <si>
    <t>Diatonisch</t>
  </si>
  <si>
    <t>enhar.</t>
  </si>
  <si>
    <t>Archytas</t>
  </si>
  <si>
    <t>chrom.</t>
  </si>
  <si>
    <t>diat.</t>
  </si>
  <si>
    <t>Temp</t>
  </si>
  <si>
    <t>32 zu 27</t>
  </si>
  <si>
    <t>c-</t>
  </si>
  <si>
    <t>36 zu 35</t>
  </si>
  <si>
    <t>243 zu 224</t>
  </si>
  <si>
    <t>8 zu 7</t>
  </si>
  <si>
    <t>28 zu 27</t>
  </si>
  <si>
    <t>f+</t>
  </si>
  <si>
    <t>ARCHYTAS von Tarent (ca. 410-350 vChr)</t>
  </si>
  <si>
    <t>Der von Archytas bewiesene Satz, dass es zwischen den Zahlen n + 1 {\displaystyle n+1} und n {\displaystyle n} , die in „überteiligem“ Verhältnis stehen, kein geometrisches Mittel geben kann, hat für die Harmonik die Konsequenz, dass es unmöglich ist, die grundlegenden harmonischen Intervalle – die Oktave (2:1), die Quinte (3:2), die Quarte (4:3) und den Ganzton (9:8) – durch eine mittlere Proportionale in zwei gleiche Teile zu teilen. Daher teilte Archytas die Quinte und die Quarte mit Hilfe der arithmetischen und harmonischen Mittel. Auf diese Verhältnisse gestützt entwickelte er eine mathematische Theorie harmonischer Intervalle für alle drei zu seiner Zeit verwendeten Tetrachorde (das enharmonische, das chromatische und das diatonische Tongeschlecht). Die Zahlenverhältnisse der Intervalle innerhalb der Tetrachorde bestimmte er, jeweils mit dem höchsten Ton beginnend, für das diatonische Tongeschlecht als 9:8, 8:7, 28:27, für das chromatische als 32:27, 243:224; 28:27 und für das enharmonische als 5:4, 36:35, 28:27. In der Musikpraxis ging es dabei um die zwei inneren Saiten eines viersaitigen Instruments, die „beweglichen“ Saiten, die in den drei Tongeschlechtern verschieden gestimmt wurden</t>
  </si>
  <si>
    <t>Der von Archytas bewiesene Satz, dass es zwischen den Zahlen n + 1  und n  , die in „überteiligem“ Verhältnis stehen, kein geometrisches Mittel geben kann, hat für die Harmonik die Konsequenz, dass es unmöglich ist, die grundlegenden harmonischen Intervalle – die Oktave (2:1), die Quinte (3:2), die Quarte (4:3) und den Ganzton (9:8) – durch eine mittlere Proportionale in zwei gleiche Teile zu teilen. Daher teilte Archytas die Quinte und die Quarte mit Hilfe der arithmetischen und harmonischen Mittel. Auf diese Verhältnisse gestützt entwickelte er eine mathematische Theorie harmonischer Intervalle für alle drei zu seiner Zeit verwendeten Tetrachorde (das enharmonische, das chromatische und das diatonische Tongeschlecht). Die Zahlenverhältnisse der Intervalle innerhalb der Tetrachorde bestimmte er, jeweils mit dem höchsten Ton beginnend, für das diatonische Tongeschlecht als 9:8, 8:7, 28:27, für das chromatische als 32:27, 243:224; 28:27 und für das enharmonische als 5:4, 36:35, 28:27. In der Musikpraxis ging es dabei um die zwei inneren Saiten eines viersaitigen Instruments, die „beweglichen“ Saiten, die in den drei Tongeschlechtern verschieden gestimmt wurden</t>
  </si>
  <si>
    <t>Durchweg ist e-h und a-e eine reine Quart 4:3 und e-a ist eine reine Quint 3:2.</t>
  </si>
  <si>
    <t>DITYMOS  (1. Jhd vChr.)</t>
  </si>
  <si>
    <t>Ditymos lehnt sich u.a. an Ptolemaios, aber auch an Archytas an. Ist aber eigenständig.</t>
  </si>
  <si>
    <t>diatonisch</t>
  </si>
  <si>
    <t>chromatiscj</t>
  </si>
  <si>
    <t>enharmonisch</t>
  </si>
  <si>
    <t>Warum reiht Archytas nicht einfach 2 Ganztöne 9:8 aneinander und zieht sie von der Quarte ab? (Das Intervall wäre 256 :243.)Warum benutzt er den großen Ganzton 8:7?</t>
  </si>
  <si>
    <t>256 zu 243</t>
  </si>
  <si>
    <t>256:243 =  4* 8 *8 : 3*9*9 = (4:3):(8:9)*(8:9)</t>
  </si>
  <si>
    <t>"addiert"</t>
  </si>
  <si>
    <t>Centabw</t>
  </si>
  <si>
    <t>Frequ</t>
  </si>
  <si>
    <t>Verh</t>
  </si>
  <si>
    <t>Ton</t>
  </si>
  <si>
    <t>"Diatonisches Tongeschlecht" mit dem pythagoreischen Ganzton</t>
  </si>
  <si>
    <t>Diatonisches Tongeschlecht mit ausschließlich pythagoreischen Quinten aufgebaut</t>
  </si>
  <si>
    <t>(Ausgangspunkt ist das e, es werden die Quinten abwärts bis f gerechnet und einme aufwärts bis h)</t>
  </si>
  <si>
    <t>ERGEBNIS: ob man 9:8 abträgt oder alles aus Quinten berechnet, läuft auf Dasselbe hinaus!</t>
  </si>
  <si>
    <t>enh</t>
  </si>
  <si>
    <t>PYTH</t>
  </si>
  <si>
    <t>Ditymos</t>
  </si>
  <si>
    <t>1zu1</t>
  </si>
  <si>
    <t>3zu4</t>
  </si>
  <si>
    <t>2zu3</t>
  </si>
  <si>
    <t>1zu2</t>
  </si>
  <si>
    <t>alle Verhältnisse zum Grundton</t>
  </si>
  <si>
    <t>zum Grundton</t>
  </si>
  <si>
    <t>Verhältnisse zum Grundton</t>
  </si>
</sst>
</file>

<file path=xl/styles.xml><?xml version="1.0" encoding="utf-8"?>
<styleSheet xmlns="http://schemas.openxmlformats.org/spreadsheetml/2006/main">
  <numFmts count="5">
    <numFmt numFmtId="164" formatCode="0.000"/>
    <numFmt numFmtId="165" formatCode="0.0"/>
    <numFmt numFmtId="166" formatCode="0.0000"/>
    <numFmt numFmtId="167" formatCode="0.00000"/>
    <numFmt numFmtId="168" formatCode="0.00000000"/>
  </numFmts>
  <fonts count="11">
    <font>
      <sz val="11"/>
      <color theme="1"/>
      <name val="Calibri"/>
      <family val="2"/>
      <scheme val="minor"/>
    </font>
    <font>
      <b/>
      <sz val="14"/>
      <color theme="1"/>
      <name val="Calibri"/>
      <family val="2"/>
      <scheme val="minor"/>
    </font>
    <font>
      <sz val="14"/>
      <color theme="1"/>
      <name val="Calibri"/>
      <family val="2"/>
      <scheme val="minor"/>
    </font>
    <font>
      <b/>
      <sz val="11"/>
      <color theme="1"/>
      <name val="Calibri"/>
      <family val="2"/>
      <scheme val="minor"/>
    </font>
    <font>
      <sz val="12"/>
      <color theme="1"/>
      <name val="Calibri"/>
      <family val="2"/>
      <scheme val="minor"/>
    </font>
    <font>
      <sz val="12"/>
      <color rgb="FF3333CC"/>
      <name val="Times New Roman"/>
      <family val="1"/>
    </font>
    <font>
      <sz val="12"/>
      <name val="Calibri"/>
      <family val="2"/>
      <scheme val="minor"/>
    </font>
    <font>
      <b/>
      <sz val="12"/>
      <color theme="1"/>
      <name val="Calibri"/>
      <family val="2"/>
      <scheme val="minor"/>
    </font>
    <font>
      <b/>
      <sz val="12"/>
      <color rgb="FFFF0000"/>
      <name val="Calibri"/>
      <family val="2"/>
      <scheme val="minor"/>
    </font>
    <font>
      <b/>
      <sz val="11"/>
      <color rgb="FFFF0000"/>
      <name val="Calibri"/>
      <family val="2"/>
      <scheme val="minor"/>
    </font>
    <font>
      <b/>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57">
    <xf numFmtId="0" fontId="0" fillId="0" borderId="0" xfId="0"/>
    <xf numFmtId="2" fontId="0" fillId="0" borderId="0" xfId="0" applyNumberFormat="1"/>
    <xf numFmtId="0" fontId="0" fillId="2" borderId="1" xfId="0" applyFill="1" applyBorder="1"/>
    <xf numFmtId="0" fontId="0" fillId="3" borderId="1" xfId="0" applyFill="1" applyBorder="1"/>
    <xf numFmtId="0" fontId="0" fillId="0" borderId="1" xfId="0" applyBorder="1"/>
    <xf numFmtId="0" fontId="0" fillId="0" borderId="0" xfId="0" applyAlignment="1">
      <alignment horizontal="center"/>
    </xf>
    <xf numFmtId="0" fontId="0" fillId="0" borderId="1" xfId="0" applyBorder="1" applyAlignment="1">
      <alignment horizontal="center"/>
    </xf>
    <xf numFmtId="164" fontId="0" fillId="0" borderId="1" xfId="0" applyNumberFormat="1" applyBorder="1" applyAlignment="1">
      <alignment horizontal="center"/>
    </xf>
    <xf numFmtId="1" fontId="0" fillId="0" borderId="1" xfId="0" applyNumberFormat="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4" borderId="0" xfId="0" applyFill="1"/>
    <xf numFmtId="0" fontId="0" fillId="4" borderId="1" xfId="0" applyFill="1" applyBorder="1"/>
    <xf numFmtId="0" fontId="0" fillId="0" borderId="2" xfId="0" applyBorder="1"/>
    <xf numFmtId="0" fontId="0" fillId="0" borderId="0" xfId="0" applyBorder="1"/>
    <xf numFmtId="0" fontId="1" fillId="0" borderId="0" xfId="0" applyFont="1"/>
    <xf numFmtId="0" fontId="0" fillId="2" borderId="0" xfId="0" applyFill="1" applyBorder="1"/>
    <xf numFmtId="0" fontId="0" fillId="4" borderId="0" xfId="0" applyFill="1" applyAlignment="1">
      <alignment horizontal="center"/>
    </xf>
    <xf numFmtId="165" fontId="0" fillId="0" borderId="0" xfId="0" applyNumberFormat="1" applyAlignment="1">
      <alignment horizontal="center"/>
    </xf>
    <xf numFmtId="165" fontId="0" fillId="4" borderId="0" xfId="0" applyNumberFormat="1" applyFill="1" applyAlignment="1">
      <alignment horizontal="center"/>
    </xf>
    <xf numFmtId="165" fontId="0" fillId="0" borderId="1" xfId="0" applyNumberFormat="1" applyBorder="1" applyAlignment="1">
      <alignment horizontal="center"/>
    </xf>
    <xf numFmtId="166" fontId="0" fillId="4" borderId="1" xfId="0" applyNumberFormat="1" applyFill="1" applyBorder="1" applyAlignment="1">
      <alignment horizontal="center"/>
    </xf>
    <xf numFmtId="0" fontId="0" fillId="0" borderId="1" xfId="0" applyFill="1" applyBorder="1"/>
    <xf numFmtId="0" fontId="2" fillId="0" borderId="0" xfId="0" applyFont="1"/>
    <xf numFmtId="0" fontId="0" fillId="0" borderId="1" xfId="0" applyBorder="1" applyAlignment="1">
      <alignment horizontal="right"/>
    </xf>
    <xf numFmtId="166" fontId="0" fillId="0" borderId="1" xfId="0" applyNumberFormat="1" applyBorder="1"/>
    <xf numFmtId="0" fontId="0" fillId="0" borderId="1" xfId="0" applyFill="1" applyBorder="1" applyAlignment="1">
      <alignment horizontal="left"/>
    </xf>
    <xf numFmtId="0" fontId="0" fillId="0" borderId="1" xfId="0" applyBorder="1" applyAlignment="1">
      <alignment horizontal="left"/>
    </xf>
    <xf numFmtId="165" fontId="0" fillId="0" borderId="1" xfId="0" applyNumberFormat="1" applyBorder="1" applyAlignment="1">
      <alignment horizontal="left"/>
    </xf>
    <xf numFmtId="0" fontId="0" fillId="0" borderId="0" xfId="0" applyBorder="1" applyAlignment="1">
      <alignment horizontal="center"/>
    </xf>
    <xf numFmtId="166" fontId="0" fillId="0" borderId="0" xfId="0" applyNumberFormat="1" applyBorder="1"/>
    <xf numFmtId="166" fontId="0" fillId="4" borderId="0" xfId="0" applyNumberFormat="1" applyFill="1" applyAlignment="1">
      <alignment horizontal="center"/>
    </xf>
    <xf numFmtId="2" fontId="0" fillId="0" borderId="1" xfId="0" applyNumberFormat="1" applyBorder="1" applyAlignment="1">
      <alignment horizontal="center"/>
    </xf>
    <xf numFmtId="0" fontId="0" fillId="4" borderId="1" xfId="0" applyFill="1" applyBorder="1" applyAlignment="1">
      <alignment horizontal="left"/>
    </xf>
    <xf numFmtId="165" fontId="0" fillId="4" borderId="1" xfId="0" applyNumberFormat="1" applyFill="1" applyBorder="1" applyAlignment="1">
      <alignment horizontal="center"/>
    </xf>
    <xf numFmtId="0" fontId="0" fillId="0" borderId="0" xfId="0" applyFill="1" applyBorder="1"/>
    <xf numFmtId="0" fontId="0" fillId="3" borderId="0" xfId="0" applyFill="1"/>
    <xf numFmtId="0" fontId="3" fillId="0" borderId="1" xfId="0" applyFont="1" applyFill="1" applyBorder="1" applyAlignment="1">
      <alignment horizontal="center"/>
    </xf>
    <xf numFmtId="0" fontId="3" fillId="0" borderId="1" xfId="0" applyFont="1" applyBorder="1" applyAlignment="1">
      <alignment horizontal="center"/>
    </xf>
    <xf numFmtId="0" fontId="3" fillId="0" borderId="4" xfId="0" applyFont="1" applyFill="1" applyBorder="1" applyAlignment="1">
      <alignment horizontal="center"/>
    </xf>
    <xf numFmtId="2" fontId="0" fillId="4" borderId="1" xfId="0" applyNumberFormat="1" applyFill="1" applyBorder="1" applyAlignment="1">
      <alignment horizontal="center"/>
    </xf>
    <xf numFmtId="0" fontId="0" fillId="0" borderId="0" xfId="0" applyAlignment="1">
      <alignment horizontal="right"/>
    </xf>
    <xf numFmtId="166" fontId="0" fillId="0" borderId="3" xfId="0" applyNumberFormat="1" applyBorder="1" applyAlignment="1">
      <alignment horizontal="center"/>
    </xf>
    <xf numFmtId="166" fontId="0" fillId="0" borderId="0" xfId="0" applyNumberFormat="1" applyAlignment="1">
      <alignment horizontal="center"/>
    </xf>
    <xf numFmtId="0" fontId="0" fillId="0" borderId="0" xfId="0" applyAlignment="1">
      <alignment horizontal="left"/>
    </xf>
    <xf numFmtId="0" fontId="0" fillId="0" borderId="0" xfId="0" applyFont="1" applyAlignment="1">
      <alignment horizontal="center"/>
    </xf>
    <xf numFmtId="2" fontId="0" fillId="0" borderId="5" xfId="0" applyNumberFormat="1" applyBorder="1" applyAlignment="1">
      <alignment horizontal="center"/>
    </xf>
    <xf numFmtId="2" fontId="0" fillId="0" borderId="0" xfId="0" applyNumberFormat="1" applyBorder="1" applyAlignment="1">
      <alignment horizontal="center"/>
    </xf>
    <xf numFmtId="2" fontId="0" fillId="0" borderId="6" xfId="0" applyNumberFormat="1" applyBorder="1" applyAlignment="1">
      <alignment horizontal="center"/>
    </xf>
    <xf numFmtId="2" fontId="0" fillId="0" borderId="7" xfId="0" applyNumberFormat="1" applyBorder="1" applyAlignment="1">
      <alignment horizontal="center"/>
    </xf>
    <xf numFmtId="2" fontId="0" fillId="0" borderId="9" xfId="0" applyNumberFormat="1" applyBorder="1" applyAlignment="1">
      <alignment horizontal="center"/>
    </xf>
    <xf numFmtId="2" fontId="0" fillId="0" borderId="8" xfId="0" applyNumberFormat="1" applyBorder="1" applyAlignment="1">
      <alignment horizontal="center"/>
    </xf>
    <xf numFmtId="165" fontId="0" fillId="0" borderId="0" xfId="0" applyNumberFormat="1" applyBorder="1" applyAlignment="1">
      <alignment horizontal="center"/>
    </xf>
    <xf numFmtId="2" fontId="0" fillId="0" borderId="0" xfId="0" applyNumberFormat="1" applyFont="1" applyBorder="1" applyAlignment="1">
      <alignment horizontal="center"/>
    </xf>
    <xf numFmtId="2" fontId="0" fillId="0" borderId="4" xfId="0" applyNumberFormat="1" applyBorder="1" applyAlignment="1">
      <alignment horizontal="center"/>
    </xf>
    <xf numFmtId="2" fontId="0" fillId="0" borderId="4" xfId="0" applyNumberFormat="1" applyFont="1" applyBorder="1" applyAlignment="1">
      <alignment horizontal="center"/>
    </xf>
    <xf numFmtId="2" fontId="0" fillId="0" borderId="10" xfId="0" applyNumberFormat="1" applyBorder="1" applyAlignment="1">
      <alignment horizontal="center"/>
    </xf>
    <xf numFmtId="0" fontId="0" fillId="0" borderId="11" xfId="0" applyBorder="1"/>
    <xf numFmtId="0" fontId="0" fillId="0" borderId="12" xfId="0" applyBorder="1"/>
    <xf numFmtId="0" fontId="0" fillId="0" borderId="13" xfId="0" applyBorder="1"/>
    <xf numFmtId="12" fontId="4" fillId="0" borderId="11" xfId="0" applyNumberFormat="1" applyFont="1" applyBorder="1" applyAlignment="1">
      <alignment horizontal="left"/>
    </xf>
    <xf numFmtId="12" fontId="4" fillId="0" borderId="12" xfId="0" applyNumberFormat="1" applyFont="1" applyBorder="1" applyAlignment="1">
      <alignment horizontal="left"/>
    </xf>
    <xf numFmtId="12" fontId="4" fillId="0" borderId="13" xfId="0" applyNumberFormat="1" applyFont="1" applyBorder="1" applyAlignment="1">
      <alignment horizontal="left"/>
    </xf>
    <xf numFmtId="12" fontId="4" fillId="0" borderId="0" xfId="0" applyNumberFormat="1" applyFont="1" applyAlignment="1">
      <alignment horizontal="center"/>
    </xf>
    <xf numFmtId="0" fontId="5" fillId="0" borderId="0" xfId="0" applyFont="1" applyFill="1" applyBorder="1" applyAlignment="1">
      <alignment horizontal="center" vertical="top" wrapText="1" readingOrder="1"/>
    </xf>
    <xf numFmtId="0" fontId="0" fillId="0" borderId="14" xfId="0" applyBorder="1" applyAlignment="1">
      <alignment horizontal="center"/>
    </xf>
    <xf numFmtId="0" fontId="0" fillId="0" borderId="15" xfId="0" applyBorder="1" applyAlignment="1">
      <alignment horizontal="center"/>
    </xf>
    <xf numFmtId="12" fontId="4" fillId="0" borderId="14" xfId="0" applyNumberFormat="1" applyFont="1" applyBorder="1" applyAlignment="1">
      <alignment horizontal="center"/>
    </xf>
    <xf numFmtId="12" fontId="4" fillId="0" borderId="15" xfId="0" applyNumberFormat="1" applyFont="1" applyBorder="1" applyAlignment="1">
      <alignment horizontal="center"/>
    </xf>
    <xf numFmtId="0" fontId="6" fillId="0" borderId="14" xfId="0" applyFont="1" applyFill="1" applyBorder="1" applyAlignment="1">
      <alignment horizontal="center" vertical="top" wrapText="1" readingOrder="1"/>
    </xf>
    <xf numFmtId="2" fontId="4" fillId="0" borderId="16" xfId="0" applyNumberFormat="1" applyFont="1" applyBorder="1" applyAlignment="1">
      <alignment horizontal="center"/>
    </xf>
    <xf numFmtId="165" fontId="4" fillId="0" borderId="16" xfId="0" applyNumberFormat="1" applyFont="1" applyBorder="1" applyAlignment="1">
      <alignment horizontal="center"/>
    </xf>
    <xf numFmtId="2" fontId="4" fillId="0" borderId="15" xfId="0" applyNumberFormat="1" applyFont="1" applyBorder="1" applyAlignment="1">
      <alignment horizontal="center"/>
    </xf>
    <xf numFmtId="2" fontId="4" fillId="0" borderId="17" xfId="0" applyNumberFormat="1" applyFont="1" applyBorder="1" applyAlignment="1">
      <alignment horizontal="center"/>
    </xf>
    <xf numFmtId="2" fontId="7" fillId="0" borderId="18" xfId="0" applyNumberFormat="1" applyFont="1" applyBorder="1" applyAlignment="1">
      <alignment horizontal="center"/>
    </xf>
    <xf numFmtId="2" fontId="4" fillId="0" borderId="18" xfId="0" applyNumberFormat="1" applyFont="1" applyBorder="1" applyAlignment="1">
      <alignment horizontal="center"/>
    </xf>
    <xf numFmtId="165" fontId="4" fillId="0" borderId="15" xfId="0" applyNumberFormat="1" applyFont="1" applyBorder="1" applyAlignment="1">
      <alignment horizontal="center"/>
    </xf>
    <xf numFmtId="2" fontId="6" fillId="0" borderId="15" xfId="0" applyNumberFormat="1" applyFont="1" applyFill="1" applyBorder="1" applyAlignment="1">
      <alignment horizontal="center" vertical="top" wrapText="1" readingOrder="1"/>
    </xf>
    <xf numFmtId="2" fontId="4" fillId="0" borderId="19" xfId="0" applyNumberFormat="1" applyFont="1" applyBorder="1" applyAlignment="1">
      <alignment horizontal="center"/>
    </xf>
    <xf numFmtId="12" fontId="7" fillId="0" borderId="20" xfId="0" applyNumberFormat="1" applyFont="1" applyBorder="1" applyAlignment="1">
      <alignment horizontal="center"/>
    </xf>
    <xf numFmtId="12" fontId="4" fillId="0" borderId="21" xfId="0" applyNumberFormat="1" applyFont="1" applyBorder="1" applyAlignment="1">
      <alignment horizontal="center"/>
    </xf>
    <xf numFmtId="165" fontId="4" fillId="0" borderId="19" xfId="0" applyNumberFormat="1" applyFont="1" applyBorder="1" applyAlignment="1">
      <alignment horizontal="center"/>
    </xf>
    <xf numFmtId="2" fontId="4" fillId="0" borderId="20" xfId="0" applyNumberFormat="1" applyFont="1" applyBorder="1" applyAlignment="1">
      <alignment horizontal="center"/>
    </xf>
    <xf numFmtId="2" fontId="4" fillId="0" borderId="21" xfId="0" applyNumberFormat="1" applyFont="1" applyBorder="1" applyAlignment="1">
      <alignment horizontal="center"/>
    </xf>
    <xf numFmtId="2" fontId="7" fillId="0" borderId="0" xfId="0" applyNumberFormat="1" applyFont="1" applyBorder="1" applyAlignment="1">
      <alignment horizontal="center"/>
    </xf>
    <xf numFmtId="2" fontId="4" fillId="0" borderId="0" xfId="0" applyNumberFormat="1" applyFont="1" applyBorder="1" applyAlignment="1">
      <alignment horizontal="center"/>
    </xf>
    <xf numFmtId="165" fontId="4" fillId="0" borderId="20" xfId="0" applyNumberFormat="1" applyFont="1" applyBorder="1" applyAlignment="1">
      <alignment horizontal="center"/>
    </xf>
    <xf numFmtId="2" fontId="6" fillId="0" borderId="20" xfId="0" applyNumberFormat="1" applyFont="1" applyFill="1" applyBorder="1" applyAlignment="1">
      <alignment horizontal="center" vertical="top" wrapText="1" readingOrder="1"/>
    </xf>
    <xf numFmtId="2" fontId="4" fillId="0" borderId="22" xfId="0" applyNumberFormat="1" applyFont="1" applyBorder="1" applyAlignment="1">
      <alignment horizontal="center"/>
    </xf>
    <xf numFmtId="12" fontId="7" fillId="0" borderId="23" xfId="0" applyNumberFormat="1" applyFont="1" applyBorder="1" applyAlignment="1">
      <alignment horizontal="center"/>
    </xf>
    <xf numFmtId="12" fontId="4" fillId="0" borderId="24" xfId="0" applyNumberFormat="1" applyFont="1" applyBorder="1" applyAlignment="1">
      <alignment horizontal="center"/>
    </xf>
    <xf numFmtId="165" fontId="4" fillId="0" borderId="22" xfId="0" applyNumberFormat="1" applyFont="1" applyBorder="1" applyAlignment="1">
      <alignment horizontal="center"/>
    </xf>
    <xf numFmtId="2" fontId="4" fillId="0" borderId="23" xfId="0" applyNumberFormat="1" applyFont="1" applyBorder="1" applyAlignment="1">
      <alignment horizontal="center"/>
    </xf>
    <xf numFmtId="2" fontId="4" fillId="0" borderId="24" xfId="0" applyNumberFormat="1" applyFont="1" applyBorder="1" applyAlignment="1">
      <alignment horizontal="center"/>
    </xf>
    <xf numFmtId="2" fontId="7" fillId="0" borderId="25" xfId="0" applyNumberFormat="1" applyFont="1" applyBorder="1" applyAlignment="1">
      <alignment horizontal="center"/>
    </xf>
    <xf numFmtId="2" fontId="4" fillId="0" borderId="25" xfId="0" applyNumberFormat="1" applyFont="1" applyBorder="1" applyAlignment="1">
      <alignment horizontal="center"/>
    </xf>
    <xf numFmtId="165" fontId="4" fillId="0" borderId="23" xfId="0" applyNumberFormat="1" applyFont="1" applyBorder="1" applyAlignment="1">
      <alignment horizontal="center"/>
    </xf>
    <xf numFmtId="2" fontId="6" fillId="0" borderId="23" xfId="0" applyNumberFormat="1" applyFont="1" applyFill="1" applyBorder="1" applyAlignment="1">
      <alignment horizontal="center" vertical="top" wrapText="1" readingOrder="1"/>
    </xf>
    <xf numFmtId="0" fontId="0" fillId="0" borderId="0" xfId="0" applyNumberFormat="1" applyAlignment="1">
      <alignment wrapText="1"/>
    </xf>
    <xf numFmtId="0" fontId="7" fillId="0" borderId="0" xfId="0" applyFont="1"/>
    <xf numFmtId="12" fontId="4" fillId="0" borderId="14" xfId="0" applyNumberFormat="1" applyFont="1" applyBorder="1" applyAlignment="1"/>
    <xf numFmtId="2" fontId="4" fillId="0" borderId="17" xfId="0" applyNumberFormat="1" applyFont="1" applyBorder="1" applyAlignment="1"/>
    <xf numFmtId="2" fontId="4" fillId="0" borderId="21" xfId="0" applyNumberFormat="1" applyFont="1" applyBorder="1" applyAlignment="1"/>
    <xf numFmtId="2" fontId="4" fillId="0" borderId="24" xfId="0" applyNumberFormat="1" applyFont="1" applyBorder="1" applyAlignment="1"/>
    <xf numFmtId="2" fontId="8" fillId="0" borderId="21" xfId="0" applyNumberFormat="1" applyFont="1" applyBorder="1" applyAlignment="1">
      <alignment horizontal="center"/>
    </xf>
    <xf numFmtId="2" fontId="8" fillId="0" borderId="24" xfId="0" applyNumberFormat="1" applyFont="1" applyBorder="1" applyAlignment="1">
      <alignment horizontal="center"/>
    </xf>
    <xf numFmtId="0" fontId="0" fillId="0" borderId="14" xfId="0" applyFont="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2" fontId="9" fillId="0" borderId="0" xfId="0" applyNumberFormat="1" applyFont="1" applyBorder="1" applyAlignment="1">
      <alignment horizontal="center"/>
    </xf>
    <xf numFmtId="0" fontId="0" fillId="0" borderId="12" xfId="0" applyBorder="1" applyAlignment="1">
      <alignment horizontal="left"/>
    </xf>
    <xf numFmtId="0" fontId="0" fillId="0" borderId="11" xfId="0" applyBorder="1" applyAlignment="1">
      <alignment horizontal="left"/>
    </xf>
    <xf numFmtId="0" fontId="0" fillId="0" borderId="20" xfId="0" applyBorder="1" applyAlignment="1">
      <alignment horizontal="center"/>
    </xf>
    <xf numFmtId="0" fontId="0" fillId="0" borderId="23"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22" xfId="0" applyBorder="1" applyAlignment="1">
      <alignment horizontal="center"/>
    </xf>
    <xf numFmtId="2" fontId="0" fillId="0" borderId="18" xfId="0" applyNumberFormat="1" applyBorder="1" applyAlignment="1">
      <alignment horizontal="center"/>
    </xf>
    <xf numFmtId="2" fontId="0" fillId="0" borderId="25" xfId="0" applyNumberFormat="1" applyBorder="1" applyAlignment="1">
      <alignment horizontal="center"/>
    </xf>
    <xf numFmtId="0" fontId="0" fillId="0" borderId="0" xfId="0" applyFill="1" applyBorder="1" applyAlignment="1">
      <alignment horizontal="center"/>
    </xf>
    <xf numFmtId="165" fontId="0" fillId="0" borderId="0" xfId="0" applyNumberFormat="1" applyFill="1" applyBorder="1" applyAlignment="1">
      <alignment horizontal="center"/>
    </xf>
    <xf numFmtId="2" fontId="0" fillId="0" borderId="17" xfId="0" applyNumberFormat="1" applyFill="1" applyBorder="1" applyAlignment="1">
      <alignment horizontal="center"/>
    </xf>
    <xf numFmtId="2" fontId="0" fillId="0" borderId="21" xfId="0" applyNumberFormat="1" applyFill="1" applyBorder="1" applyAlignment="1">
      <alignment horizontal="center"/>
    </xf>
    <xf numFmtId="2" fontId="0" fillId="0" borderId="24" xfId="0" applyNumberFormat="1" applyFill="1" applyBorder="1" applyAlignment="1">
      <alignment horizontal="center"/>
    </xf>
    <xf numFmtId="2" fontId="0" fillId="0" borderId="15" xfId="0" applyNumberFormat="1" applyBorder="1" applyAlignment="1">
      <alignment horizontal="center"/>
    </xf>
    <xf numFmtId="2" fontId="0" fillId="0" borderId="20" xfId="0" applyNumberFormat="1" applyBorder="1" applyAlignment="1">
      <alignment horizontal="center"/>
    </xf>
    <xf numFmtId="2" fontId="0" fillId="0" borderId="23" xfId="0" applyNumberFormat="1" applyBorder="1" applyAlignment="1">
      <alignment horizontal="center"/>
    </xf>
    <xf numFmtId="0" fontId="9" fillId="0" borderId="19" xfId="0" applyFont="1" applyBorder="1" applyAlignment="1">
      <alignment horizontal="center"/>
    </xf>
    <xf numFmtId="20" fontId="9" fillId="0" borderId="19" xfId="0" applyNumberFormat="1" applyFont="1" applyBorder="1" applyAlignment="1">
      <alignment horizontal="center"/>
    </xf>
    <xf numFmtId="0" fontId="0" fillId="0" borderId="0" xfId="0" applyFill="1" applyBorder="1" applyAlignment="1">
      <alignment horizontal="left"/>
    </xf>
    <xf numFmtId="165" fontId="4" fillId="0" borderId="18" xfId="0" applyNumberFormat="1" applyFont="1" applyBorder="1" applyAlignment="1">
      <alignment horizontal="center"/>
    </xf>
    <xf numFmtId="165" fontId="4" fillId="0" borderId="0" xfId="0" applyNumberFormat="1" applyFont="1" applyBorder="1" applyAlignment="1">
      <alignment horizontal="center"/>
    </xf>
    <xf numFmtId="165" fontId="4" fillId="0" borderId="25" xfId="0" applyNumberFormat="1" applyFont="1" applyBorder="1" applyAlignment="1">
      <alignment horizontal="center"/>
    </xf>
    <xf numFmtId="12" fontId="7" fillId="0" borderId="26" xfId="0" applyNumberFormat="1" applyFont="1" applyBorder="1" applyAlignment="1">
      <alignment horizontal="center"/>
    </xf>
    <xf numFmtId="12" fontId="4" fillId="0" borderId="27" xfId="0" applyNumberFormat="1" applyFont="1" applyBorder="1" applyAlignment="1">
      <alignment horizontal="center"/>
    </xf>
    <xf numFmtId="12" fontId="7" fillId="0" borderId="5" xfId="0" applyNumberFormat="1" applyFont="1" applyBorder="1" applyAlignment="1">
      <alignment horizontal="center"/>
    </xf>
    <xf numFmtId="12" fontId="8" fillId="0" borderId="6" xfId="0" applyNumberFormat="1" applyFont="1" applyBorder="1" applyAlignment="1">
      <alignment horizontal="center"/>
    </xf>
    <xf numFmtId="12" fontId="7" fillId="0" borderId="7" xfId="0" applyNumberFormat="1" applyFont="1" applyBorder="1" applyAlignment="1">
      <alignment horizontal="center"/>
    </xf>
    <xf numFmtId="12" fontId="8" fillId="0" borderId="8" xfId="0" applyNumberFormat="1" applyFont="1" applyBorder="1" applyAlignment="1">
      <alignment horizontal="center"/>
    </xf>
    <xf numFmtId="0" fontId="3" fillId="0" borderId="0" xfId="0" applyFont="1" applyAlignment="1">
      <alignment horizontal="center"/>
    </xf>
    <xf numFmtId="0" fontId="3" fillId="4" borderId="0" xfId="0" applyFont="1" applyFill="1" applyAlignment="1">
      <alignment horizontal="center"/>
    </xf>
    <xf numFmtId="0" fontId="3" fillId="0" borderId="0" xfId="0" applyFont="1" applyBorder="1" applyAlignment="1">
      <alignment horizontal="center"/>
    </xf>
    <xf numFmtId="0" fontId="3" fillId="4" borderId="0" xfId="0" applyFont="1" applyFill="1" applyBorder="1" applyAlignment="1">
      <alignment horizontal="center"/>
    </xf>
    <xf numFmtId="0" fontId="3" fillId="0" borderId="0" xfId="0" applyFont="1" applyFill="1" applyBorder="1" applyAlignment="1">
      <alignment horizontal="center"/>
    </xf>
    <xf numFmtId="168" fontId="0" fillId="0" borderId="1" xfId="0" applyNumberFormat="1" applyBorder="1"/>
    <xf numFmtId="167" fontId="0" fillId="0" borderId="0" xfId="0" applyNumberFormat="1" applyAlignment="1">
      <alignment horizontal="center"/>
    </xf>
    <xf numFmtId="2" fontId="10" fillId="0" borderId="21" xfId="0" applyNumberFormat="1" applyFont="1" applyBorder="1" applyAlignment="1">
      <alignment horizontal="center"/>
    </xf>
    <xf numFmtId="2" fontId="10" fillId="0" borderId="24" xfId="0" applyNumberFormat="1" applyFont="1" applyBorder="1" applyAlignment="1">
      <alignment horizontal="center"/>
    </xf>
    <xf numFmtId="12" fontId="10" fillId="0" borderId="14" xfId="0" applyNumberFormat="1" applyFont="1" applyBorder="1" applyAlignment="1">
      <alignment horizontal="center"/>
    </xf>
    <xf numFmtId="2" fontId="10" fillId="0" borderId="17" xfId="0" applyNumberFormat="1" applyFont="1" applyBorder="1" applyAlignment="1">
      <alignment horizontal="center"/>
    </xf>
    <xf numFmtId="2" fontId="10" fillId="0" borderId="16" xfId="0" applyNumberFormat="1" applyFont="1" applyBorder="1" applyAlignment="1">
      <alignment horizontal="center"/>
    </xf>
    <xf numFmtId="2" fontId="10" fillId="0" borderId="19" xfId="0" applyNumberFormat="1" applyFont="1" applyBorder="1" applyAlignment="1">
      <alignment horizontal="center"/>
    </xf>
    <xf numFmtId="2" fontId="10" fillId="0" borderId="22" xfId="0" applyNumberFormat="1" applyFont="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de-DE"/>
  <c:chart>
    <c:plotArea>
      <c:layout/>
      <c:lineChart>
        <c:grouping val="standard"/>
        <c:ser>
          <c:idx val="0"/>
          <c:order val="0"/>
          <c:spPr>
            <a:ln>
              <a:noFill/>
            </a:ln>
          </c:spPr>
          <c:marker>
            <c:symbol val="diamond"/>
            <c:size val="9"/>
          </c:marker>
          <c:cat>
            <c:strRef>
              <c:f>Pythagoras!$A$5:$A$19</c:f>
              <c:strCache>
                <c:ptCount val="15"/>
                <c:pt idx="0">
                  <c:v>C</c:v>
                </c:pt>
                <c:pt idx="1">
                  <c:v>G</c:v>
                </c:pt>
                <c:pt idx="2">
                  <c:v>D</c:v>
                </c:pt>
                <c:pt idx="3">
                  <c:v>A</c:v>
                </c:pt>
                <c:pt idx="4">
                  <c:v>E</c:v>
                </c:pt>
                <c:pt idx="5">
                  <c:v>H</c:v>
                </c:pt>
                <c:pt idx="6">
                  <c:v>F#</c:v>
                </c:pt>
                <c:pt idx="8">
                  <c:v>C</c:v>
                </c:pt>
                <c:pt idx="9">
                  <c:v>F</c:v>
                </c:pt>
                <c:pt idx="10">
                  <c:v>B</c:v>
                </c:pt>
                <c:pt idx="11">
                  <c:v>Es</c:v>
                </c:pt>
                <c:pt idx="12">
                  <c:v>As</c:v>
                </c:pt>
                <c:pt idx="13">
                  <c:v>Des</c:v>
                </c:pt>
                <c:pt idx="14">
                  <c:v>Ges</c:v>
                </c:pt>
              </c:strCache>
            </c:strRef>
          </c:cat>
          <c:val>
            <c:numRef>
              <c:f>Pythagoras!$D$5:$D$19</c:f>
              <c:numCache>
                <c:formatCode>General</c:formatCode>
                <c:ptCount val="15"/>
                <c:pt idx="0">
                  <c:v>0</c:v>
                </c:pt>
                <c:pt idx="1">
                  <c:v>1.9550008653868458</c:v>
                </c:pt>
                <c:pt idx="2">
                  <c:v>3.9100017307743689</c:v>
                </c:pt>
                <c:pt idx="3">
                  <c:v>5.8650025961611538</c:v>
                </c:pt>
                <c:pt idx="4">
                  <c:v>7.8200034615487954</c:v>
                </c:pt>
                <c:pt idx="5">
                  <c:v>9.7750043269356457</c:v>
                </c:pt>
                <c:pt idx="6">
                  <c:v>11.730005192323214</c:v>
                </c:pt>
                <c:pt idx="9">
                  <c:v>-1.9550008653879698</c:v>
                </c:pt>
                <c:pt idx="10">
                  <c:v>-3.910001730775829</c:v>
                </c:pt>
                <c:pt idx="11">
                  <c:v>-5.8650025961626593</c:v>
                </c:pt>
                <c:pt idx="12">
                  <c:v>-7.8200034615502698</c:v>
                </c:pt>
                <c:pt idx="13">
                  <c:v>-9.7750043269373208</c:v>
                </c:pt>
                <c:pt idx="14">
                  <c:v>-11.730005192325402</c:v>
                </c:pt>
              </c:numCache>
            </c:numRef>
          </c:val>
          <c:extLst xmlns:c16r2="http://schemas.microsoft.com/office/drawing/2015/06/chart">
            <c:ext xmlns:c16="http://schemas.microsoft.com/office/drawing/2014/chart" uri="{C3380CC4-5D6E-409C-BE32-E72D297353CC}">
              <c16:uniqueId val="{00000000-BC82-4442-AFF1-AA57D5A23C62}"/>
            </c:ext>
          </c:extLst>
        </c:ser>
        <c:marker val="1"/>
        <c:axId val="95200768"/>
        <c:axId val="100547584"/>
      </c:lineChart>
      <c:catAx>
        <c:axId val="95200768"/>
        <c:scaling>
          <c:orientation val="minMax"/>
        </c:scaling>
        <c:axPos val="b"/>
        <c:numFmt formatCode="General" sourceLinked="0"/>
        <c:tickLblPos val="nextTo"/>
        <c:crossAx val="100547584"/>
        <c:crosses val="autoZero"/>
        <c:auto val="1"/>
        <c:lblAlgn val="ctr"/>
        <c:lblOffset val="100"/>
      </c:catAx>
      <c:valAx>
        <c:axId val="100547584"/>
        <c:scaling>
          <c:orientation val="minMax"/>
        </c:scaling>
        <c:axPos val="l"/>
        <c:majorGridlines/>
        <c:numFmt formatCode="General" sourceLinked="1"/>
        <c:tickLblPos val="nextTo"/>
        <c:crossAx val="95200768"/>
        <c:crosses val="autoZero"/>
        <c:crossBetween val="between"/>
      </c:valAx>
    </c:plotArea>
    <c:plotVisOnly val="1"/>
    <c:dispBlanksAs val="gap"/>
  </c:chart>
  <c:printSettings>
    <c:headerFooter/>
    <c:pageMargins b="0.78740157499999996" l="0.70000000000000051" r="0.70000000000000051" t="0.7874015749999999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323850</xdr:colOff>
      <xdr:row>27</xdr:row>
      <xdr:rowOff>28575</xdr:rowOff>
    </xdr:from>
    <xdr:to>
      <xdr:col>9</xdr:col>
      <xdr:colOff>619125</xdr:colOff>
      <xdr:row>41</xdr:row>
      <xdr:rowOff>114300</xdr:rowOff>
    </xdr:to>
    <xdr:graphicFrame macro="">
      <xdr:nvGraphicFramePr>
        <xdr:cNvPr id="8" name="Diagramm 7">
          <a:extLst>
            <a:ext uri="{FF2B5EF4-FFF2-40B4-BE49-F238E27FC236}">
              <a16:creationId xmlns=""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19051</xdr:colOff>
      <xdr:row>16</xdr:row>
      <xdr:rowOff>190500</xdr:rowOff>
    </xdr:from>
    <xdr:to>
      <xdr:col>9</xdr:col>
      <xdr:colOff>114301</xdr:colOff>
      <xdr:row>17</xdr:row>
      <xdr:rowOff>2733675</xdr:rowOff>
    </xdr:to>
    <xdr:pic>
      <xdr:nvPicPr>
        <xdr:cNvPr id="3" name="Grafik 2" descr="abweichungen.jpg"/>
        <xdr:cNvPicPr>
          <a:picLocks noChangeAspect="1"/>
        </xdr:cNvPicPr>
      </xdr:nvPicPr>
      <xdr:blipFill>
        <a:blip xmlns:r="http://schemas.openxmlformats.org/officeDocument/2006/relationships" r:embed="rId1" cstate="print"/>
        <a:stretch>
          <a:fillRect/>
        </a:stretch>
      </xdr:blipFill>
      <xdr:spPr>
        <a:xfrm>
          <a:off x="781051" y="3419475"/>
          <a:ext cx="4057650" cy="2743200"/>
        </a:xfrm>
        <a:prstGeom prst="rect">
          <a:avLst/>
        </a:prstGeom>
      </xdr:spPr>
    </xdr:pic>
    <xdr:clientData/>
  </xdr:twoCellAnchor>
  <xdr:twoCellAnchor editAs="oneCell">
    <xdr:from>
      <xdr:col>17</xdr:col>
      <xdr:colOff>285750</xdr:colOff>
      <xdr:row>17</xdr:row>
      <xdr:rowOff>38100</xdr:rowOff>
    </xdr:from>
    <xdr:to>
      <xdr:col>17</xdr:col>
      <xdr:colOff>590550</xdr:colOff>
      <xdr:row>17</xdr:row>
      <xdr:rowOff>342900</xdr:rowOff>
    </xdr:to>
    <xdr:sp macro="" textlink="">
      <xdr:nvSpPr>
        <xdr:cNvPr id="1026" name="AutoShape 2" descr=" n"/>
        <xdr:cNvSpPr>
          <a:spLocks noChangeAspect="1" noChangeArrowheads="1"/>
        </xdr:cNvSpPr>
      </xdr:nvSpPr>
      <xdr:spPr bwMode="auto">
        <a:xfrm>
          <a:off x="13239750" y="828675"/>
          <a:ext cx="304800" cy="30480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O89"/>
  <sheetViews>
    <sheetView topLeftCell="A28" workbookViewId="0">
      <selection activeCell="B48" sqref="B48"/>
    </sheetView>
  </sheetViews>
  <sheetFormatPr baseColWidth="10" defaultRowHeight="15"/>
  <cols>
    <col min="2" max="2" width="37.85546875" customWidth="1"/>
  </cols>
  <sheetData>
    <row r="1" spans="1:15" ht="18.75">
      <c r="A1" s="17" t="s">
        <v>32</v>
      </c>
      <c r="B1" s="20"/>
      <c r="C1" s="15"/>
      <c r="E1" s="5"/>
      <c r="F1" s="5"/>
      <c r="G1" s="5"/>
    </row>
    <row r="2" spans="1:15" ht="18.75">
      <c r="A2" s="17"/>
      <c r="B2" s="20"/>
      <c r="C2" s="16"/>
      <c r="E2" s="5"/>
      <c r="F2" s="5"/>
      <c r="G2" s="5"/>
    </row>
    <row r="3" spans="1:15">
      <c r="B3" s="20"/>
      <c r="C3" s="16"/>
      <c r="E3" s="19" t="s">
        <v>33</v>
      </c>
      <c r="F3" s="19"/>
      <c r="G3" s="19"/>
      <c r="I3" s="13" t="s">
        <v>34</v>
      </c>
      <c r="J3" s="13"/>
      <c r="K3" s="13"/>
      <c r="M3" s="13" t="s">
        <v>35</v>
      </c>
      <c r="N3" s="13"/>
      <c r="O3" s="13"/>
    </row>
    <row r="4" spans="1:15">
      <c r="A4" t="s">
        <v>7</v>
      </c>
      <c r="B4" s="20" t="s">
        <v>1</v>
      </c>
      <c r="C4" s="18"/>
      <c r="E4" s="6" t="s">
        <v>20</v>
      </c>
      <c r="F4" s="6" t="s">
        <v>21</v>
      </c>
      <c r="G4" s="6" t="s">
        <v>19</v>
      </c>
      <c r="I4" s="10" t="s">
        <v>20</v>
      </c>
      <c r="J4" s="10" t="s">
        <v>19</v>
      </c>
      <c r="K4" s="10" t="s">
        <v>21</v>
      </c>
      <c r="M4" s="9" t="s">
        <v>19</v>
      </c>
      <c r="N4" s="9" t="s">
        <v>22</v>
      </c>
      <c r="O4" s="9" t="s">
        <v>23</v>
      </c>
    </row>
    <row r="5" spans="1:15">
      <c r="A5" t="s">
        <v>18</v>
      </c>
      <c r="B5" s="20">
        <v>55</v>
      </c>
      <c r="C5" s="2"/>
      <c r="E5" s="6"/>
      <c r="F5" s="6"/>
      <c r="G5" s="6"/>
      <c r="I5" s="11"/>
      <c r="J5" s="11"/>
      <c r="K5" s="11"/>
      <c r="M5" s="6"/>
      <c r="N5" s="6"/>
      <c r="O5" s="6"/>
    </row>
    <row r="6" spans="1:15">
      <c r="A6" t="s">
        <v>8</v>
      </c>
      <c r="B6" s="20">
        <f>B5*2^(1/12)</f>
        <v>58.270470189761241</v>
      </c>
      <c r="C6" s="3"/>
      <c r="E6" s="6">
        <v>55</v>
      </c>
      <c r="F6" s="7">
        <v>58.270473000000003</v>
      </c>
      <c r="G6" s="8"/>
      <c r="I6" s="11">
        <v>55</v>
      </c>
      <c r="J6" s="11">
        <v>100</v>
      </c>
      <c r="K6" s="12">
        <f xml:space="preserve"> I6*2^(J6/1200)</f>
        <v>58.270470189761241</v>
      </c>
      <c r="M6" s="6">
        <v>-200</v>
      </c>
      <c r="N6" s="8">
        <f>V4*(128/400)+64</f>
        <v>64</v>
      </c>
      <c r="O6" s="8">
        <f>128*(N6-INT(N6))</f>
        <v>0</v>
      </c>
    </row>
    <row r="7" spans="1:15">
      <c r="A7" t="s">
        <v>9</v>
      </c>
      <c r="B7" s="20">
        <f t="shared" ref="B7:B70" si="0">B6*2^(1/12)</f>
        <v>61.735412657015516</v>
      </c>
      <c r="C7" s="2"/>
      <c r="E7" s="6">
        <v>220</v>
      </c>
      <c r="F7" s="6">
        <v>330</v>
      </c>
      <c r="G7" s="8">
        <f>1200*(LN(F7/E7)/LN(2))</f>
        <v>701.95500086538743</v>
      </c>
      <c r="I7" s="11">
        <v>220</v>
      </c>
      <c r="J7" s="11">
        <v>700</v>
      </c>
      <c r="K7" s="12">
        <f xml:space="preserve"> I7*2^(J7/1200)</f>
        <v>329.62755691286992</v>
      </c>
      <c r="M7" s="6">
        <v>-100</v>
      </c>
      <c r="N7" s="8">
        <f t="shared" ref="N7:N19" si="1">M7*(128/400)+64</f>
        <v>32</v>
      </c>
      <c r="O7" s="8">
        <f t="shared" ref="O7:O19" si="2">128*(N7-INT(N7))</f>
        <v>0</v>
      </c>
    </row>
    <row r="8" spans="1:15">
      <c r="A8" s="13" t="s">
        <v>24</v>
      </c>
      <c r="B8" s="33">
        <f t="shared" si="0"/>
        <v>65.40639132514967</v>
      </c>
      <c r="C8" s="14"/>
      <c r="E8" s="6"/>
      <c r="F8" s="22"/>
      <c r="G8" s="8"/>
      <c r="I8" s="11"/>
      <c r="J8" s="11"/>
      <c r="K8" s="12">
        <f t="shared" ref="K8:K11" si="3" xml:space="preserve"> I8*2^(J8/1200)</f>
        <v>0</v>
      </c>
      <c r="M8" s="6">
        <v>0</v>
      </c>
      <c r="N8" s="8">
        <f t="shared" si="1"/>
        <v>64</v>
      </c>
      <c r="O8" s="8">
        <f t="shared" si="2"/>
        <v>0</v>
      </c>
    </row>
    <row r="9" spans="1:15">
      <c r="A9" t="s">
        <v>10</v>
      </c>
      <c r="B9" s="20">
        <f t="shared" si="0"/>
        <v>69.295657744218033</v>
      </c>
      <c r="C9" s="3"/>
      <c r="E9" s="22"/>
      <c r="F9" s="22"/>
      <c r="G9" s="8"/>
      <c r="I9" s="4"/>
      <c r="J9" s="4"/>
      <c r="K9" s="12">
        <f t="shared" si="3"/>
        <v>0</v>
      </c>
      <c r="M9" s="6">
        <v>1</v>
      </c>
      <c r="N9" s="8">
        <f t="shared" si="1"/>
        <v>64.319999999999993</v>
      </c>
      <c r="O9" s="8">
        <f t="shared" si="2"/>
        <v>40.959999999999127</v>
      </c>
    </row>
    <row r="10" spans="1:15">
      <c r="A10" t="s">
        <v>11</v>
      </c>
      <c r="B10" s="20">
        <f t="shared" si="0"/>
        <v>73.416191979351908</v>
      </c>
      <c r="C10" s="2"/>
      <c r="E10" s="5"/>
      <c r="F10" s="5"/>
      <c r="G10" s="8"/>
      <c r="I10" s="4"/>
      <c r="J10" s="4"/>
      <c r="K10" s="12">
        <f t="shared" si="3"/>
        <v>0</v>
      </c>
      <c r="M10" s="6">
        <v>10</v>
      </c>
      <c r="N10" s="8">
        <f t="shared" si="1"/>
        <v>67.2</v>
      </c>
      <c r="O10" s="8">
        <f t="shared" si="2"/>
        <v>25.600000000000364</v>
      </c>
    </row>
    <row r="11" spans="1:15">
      <c r="A11" t="s">
        <v>12</v>
      </c>
      <c r="B11" s="20">
        <f t="shared" si="0"/>
        <v>77.781745930520245</v>
      </c>
      <c r="C11" s="3"/>
      <c r="E11" s="6"/>
      <c r="F11" s="6"/>
      <c r="G11" s="8"/>
      <c r="I11" s="4"/>
      <c r="J11" s="4"/>
      <c r="K11" s="12">
        <f t="shared" si="3"/>
        <v>0</v>
      </c>
      <c r="M11" s="6">
        <v>50</v>
      </c>
      <c r="N11" s="8">
        <f t="shared" si="1"/>
        <v>80</v>
      </c>
      <c r="O11" s="8">
        <f t="shared" si="2"/>
        <v>0</v>
      </c>
    </row>
    <row r="12" spans="1:15">
      <c r="A12" t="s">
        <v>13</v>
      </c>
      <c r="B12" s="20">
        <f t="shared" si="0"/>
        <v>82.406889228217509</v>
      </c>
      <c r="C12" s="2"/>
      <c r="E12" s="5"/>
      <c r="F12" s="5"/>
      <c r="G12" s="5"/>
      <c r="K12" s="1"/>
      <c r="M12" s="6">
        <v>51</v>
      </c>
      <c r="N12" s="8">
        <f t="shared" si="1"/>
        <v>80.319999999999993</v>
      </c>
      <c r="O12" s="8">
        <f t="shared" si="2"/>
        <v>40.959999999999127</v>
      </c>
    </row>
    <row r="13" spans="1:15">
      <c r="A13" t="s">
        <v>14</v>
      </c>
      <c r="B13" s="20">
        <f t="shared" si="0"/>
        <v>87.307057858251</v>
      </c>
      <c r="C13" s="2"/>
      <c r="E13" s="5"/>
      <c r="F13" s="5"/>
      <c r="G13" s="5"/>
      <c r="M13" s="6">
        <v>99</v>
      </c>
      <c r="N13" s="8">
        <f t="shared" si="1"/>
        <v>95.68</v>
      </c>
      <c r="O13" s="8">
        <f t="shared" si="2"/>
        <v>87.040000000000873</v>
      </c>
    </row>
    <row r="14" spans="1:15">
      <c r="A14" t="s">
        <v>15</v>
      </c>
      <c r="B14" s="20">
        <f t="shared" si="0"/>
        <v>92.498605677908628</v>
      </c>
      <c r="C14" s="3"/>
      <c r="E14" s="5"/>
      <c r="F14" s="5"/>
      <c r="G14" s="5"/>
      <c r="M14" s="6">
        <v>100</v>
      </c>
      <c r="N14" s="8">
        <f t="shared" si="1"/>
        <v>96</v>
      </c>
      <c r="O14" s="8">
        <f t="shared" si="2"/>
        <v>0</v>
      </c>
    </row>
    <row r="15" spans="1:15">
      <c r="A15" t="s">
        <v>16</v>
      </c>
      <c r="B15" s="20">
        <f t="shared" si="0"/>
        <v>97.998858995437359</v>
      </c>
      <c r="C15" s="2"/>
      <c r="E15" s="5"/>
      <c r="F15" s="5"/>
      <c r="G15" s="5"/>
      <c r="M15" s="6">
        <v>200</v>
      </c>
      <c r="N15" s="8">
        <f t="shared" si="1"/>
        <v>128</v>
      </c>
      <c r="O15" s="8">
        <f t="shared" si="2"/>
        <v>0</v>
      </c>
    </row>
    <row r="16" spans="1:15">
      <c r="A16" t="s">
        <v>17</v>
      </c>
      <c r="B16" s="20">
        <f t="shared" si="0"/>
        <v>103.82617439498632</v>
      </c>
      <c r="C16" s="3"/>
      <c r="E16" s="5"/>
      <c r="F16" s="5"/>
      <c r="G16" s="5"/>
      <c r="M16" s="6"/>
      <c r="N16" s="8">
        <f t="shared" si="1"/>
        <v>64</v>
      </c>
      <c r="O16" s="8">
        <f t="shared" si="2"/>
        <v>0</v>
      </c>
    </row>
    <row r="17" spans="1:15">
      <c r="A17" t="s">
        <v>3</v>
      </c>
      <c r="B17" s="20">
        <f t="shared" si="0"/>
        <v>110.00000000000004</v>
      </c>
      <c r="C17" s="2"/>
      <c r="E17" s="5"/>
      <c r="F17" s="5"/>
      <c r="G17" s="5"/>
      <c r="M17" s="4"/>
      <c r="N17" s="8">
        <f t="shared" si="1"/>
        <v>64</v>
      </c>
      <c r="O17" s="8">
        <f t="shared" si="2"/>
        <v>0</v>
      </c>
    </row>
    <row r="18" spans="1:15">
      <c r="A18" t="s">
        <v>8</v>
      </c>
      <c r="B18" s="20">
        <f t="shared" si="0"/>
        <v>116.54094037952252</v>
      </c>
      <c r="C18" s="3"/>
      <c r="E18" s="5"/>
      <c r="F18" s="5"/>
      <c r="G18" s="5"/>
      <c r="M18" s="4"/>
      <c r="N18" s="8">
        <f t="shared" si="1"/>
        <v>64</v>
      </c>
      <c r="O18" s="8">
        <f t="shared" si="2"/>
        <v>0</v>
      </c>
    </row>
    <row r="19" spans="1:15">
      <c r="A19" t="s">
        <v>9</v>
      </c>
      <c r="B19" s="20">
        <f t="shared" si="0"/>
        <v>123.47082531403107</v>
      </c>
      <c r="C19" s="2"/>
      <c r="E19" s="5"/>
      <c r="F19" s="5"/>
      <c r="G19" s="5"/>
      <c r="M19" s="4"/>
      <c r="N19" s="8">
        <f t="shared" si="1"/>
        <v>64</v>
      </c>
      <c r="O19" s="8">
        <f t="shared" si="2"/>
        <v>0</v>
      </c>
    </row>
    <row r="20" spans="1:15">
      <c r="A20" s="13" t="s">
        <v>25</v>
      </c>
      <c r="B20" s="21">
        <f t="shared" si="0"/>
        <v>130.81278265029937</v>
      </c>
      <c r="C20" s="14"/>
      <c r="E20" s="5"/>
      <c r="F20" s="5"/>
      <c r="G20" s="5"/>
    </row>
    <row r="21" spans="1:15">
      <c r="A21" t="s">
        <v>10</v>
      </c>
      <c r="B21" s="20">
        <f t="shared" si="0"/>
        <v>138.59131548843609</v>
      </c>
      <c r="C21" s="3"/>
      <c r="E21" s="5"/>
      <c r="F21" s="5"/>
      <c r="G21" s="5"/>
    </row>
    <row r="22" spans="1:15">
      <c r="A22" t="s">
        <v>11</v>
      </c>
      <c r="B22" s="20">
        <f>B21*2^(1/12)</f>
        <v>146.83238395870384</v>
      </c>
      <c r="C22" s="2"/>
      <c r="E22" s="5"/>
      <c r="F22" s="5"/>
      <c r="G22" s="5"/>
    </row>
    <row r="23" spans="1:15">
      <c r="A23" t="s">
        <v>12</v>
      </c>
      <c r="B23" s="20">
        <f t="shared" si="0"/>
        <v>155.56349186104052</v>
      </c>
      <c r="C23" s="3"/>
      <c r="E23" s="5"/>
      <c r="F23" s="5"/>
      <c r="G23" s="5"/>
    </row>
    <row r="24" spans="1:15">
      <c r="A24" t="s">
        <v>13</v>
      </c>
      <c r="B24" s="20">
        <f t="shared" si="0"/>
        <v>164.81377845643505</v>
      </c>
      <c r="C24" s="2"/>
      <c r="E24" s="5"/>
      <c r="F24" s="5"/>
      <c r="G24" s="5"/>
    </row>
    <row r="25" spans="1:15">
      <c r="A25" t="s">
        <v>14</v>
      </c>
      <c r="B25" s="20">
        <f t="shared" si="0"/>
        <v>174.61411571650203</v>
      </c>
      <c r="C25" s="2"/>
      <c r="E25" s="5"/>
      <c r="F25" s="5"/>
      <c r="G25" s="5"/>
    </row>
    <row r="26" spans="1:15">
      <c r="A26" t="s">
        <v>15</v>
      </c>
      <c r="B26" s="20">
        <f t="shared" si="0"/>
        <v>184.99721135581729</v>
      </c>
      <c r="C26" s="3"/>
      <c r="E26" s="5"/>
      <c r="F26" s="5"/>
      <c r="G26" s="5"/>
    </row>
    <row r="27" spans="1:15">
      <c r="A27" t="s">
        <v>16</v>
      </c>
      <c r="B27" s="20">
        <f t="shared" si="0"/>
        <v>195.99771799087475</v>
      </c>
      <c r="C27" s="2"/>
      <c r="E27" s="5"/>
      <c r="F27" s="5"/>
      <c r="G27" s="5"/>
    </row>
    <row r="28" spans="1:15">
      <c r="A28" t="s">
        <v>17</v>
      </c>
      <c r="B28" s="20">
        <f t="shared" si="0"/>
        <v>207.65234878997268</v>
      </c>
      <c r="C28" s="3"/>
      <c r="E28" s="5"/>
      <c r="F28" s="5"/>
      <c r="G28" s="5"/>
    </row>
    <row r="29" spans="1:15">
      <c r="A29" t="s">
        <v>2</v>
      </c>
      <c r="B29" s="20">
        <f t="shared" si="0"/>
        <v>220.00000000000011</v>
      </c>
      <c r="C29" s="2"/>
      <c r="E29" s="5"/>
      <c r="F29" s="5"/>
      <c r="G29" s="5"/>
    </row>
    <row r="30" spans="1:15">
      <c r="A30" t="s">
        <v>8</v>
      </c>
      <c r="B30" s="20">
        <f t="shared" si="0"/>
        <v>233.08188075904508</v>
      </c>
      <c r="C30" s="3"/>
      <c r="E30" s="5"/>
      <c r="F30" s="5"/>
      <c r="G30" s="5"/>
    </row>
    <row r="31" spans="1:15">
      <c r="A31" t="s">
        <v>9</v>
      </c>
      <c r="B31" s="20">
        <f t="shared" si="0"/>
        <v>246.94165062806221</v>
      </c>
      <c r="C31" s="2"/>
      <c r="E31" s="5"/>
      <c r="F31" s="5"/>
      <c r="G31" s="5"/>
    </row>
    <row r="32" spans="1:15">
      <c r="A32" s="13" t="s">
        <v>28</v>
      </c>
      <c r="B32" s="21">
        <f t="shared" si="0"/>
        <v>261.62556530059879</v>
      </c>
      <c r="C32" s="14"/>
      <c r="E32" s="5"/>
      <c r="F32" s="5"/>
      <c r="G32" s="5"/>
    </row>
    <row r="33" spans="1:7">
      <c r="A33" t="s">
        <v>10</v>
      </c>
      <c r="B33" s="20">
        <f t="shared" si="0"/>
        <v>277.1826309768723</v>
      </c>
      <c r="C33" s="3"/>
      <c r="E33" s="5"/>
      <c r="F33" s="5"/>
      <c r="G33" s="5"/>
    </row>
    <row r="34" spans="1:7">
      <c r="A34" t="s">
        <v>11</v>
      </c>
      <c r="B34" s="20">
        <f t="shared" si="0"/>
        <v>293.6647679174078</v>
      </c>
      <c r="C34" s="2"/>
      <c r="E34" s="5"/>
      <c r="F34" s="5"/>
      <c r="G34" s="5"/>
    </row>
    <row r="35" spans="1:7">
      <c r="A35" t="s">
        <v>12</v>
      </c>
      <c r="B35" s="20">
        <f t="shared" si="0"/>
        <v>311.12698372208121</v>
      </c>
      <c r="C35" s="3"/>
      <c r="E35" s="5"/>
      <c r="F35" s="5"/>
      <c r="G35" s="5"/>
    </row>
    <row r="36" spans="1:7">
      <c r="A36" t="s">
        <v>13</v>
      </c>
      <c r="B36" s="20">
        <f t="shared" si="0"/>
        <v>329.62755691287026</v>
      </c>
      <c r="C36" s="2"/>
      <c r="E36" s="5"/>
      <c r="F36" s="5"/>
      <c r="G36" s="5"/>
    </row>
    <row r="37" spans="1:7">
      <c r="A37" t="s">
        <v>14</v>
      </c>
      <c r="B37" s="20">
        <f t="shared" si="0"/>
        <v>349.22823143300423</v>
      </c>
      <c r="C37" s="2"/>
      <c r="E37" s="5"/>
      <c r="F37" s="5"/>
      <c r="G37" s="5"/>
    </row>
    <row r="38" spans="1:7">
      <c r="A38" t="s">
        <v>15</v>
      </c>
      <c r="B38" s="20">
        <f t="shared" si="0"/>
        <v>369.9944227116348</v>
      </c>
      <c r="C38" s="3"/>
      <c r="E38" s="5"/>
      <c r="F38" s="5"/>
      <c r="G38" s="5"/>
    </row>
    <row r="39" spans="1:7">
      <c r="A39" t="s">
        <v>16</v>
      </c>
      <c r="B39" s="20">
        <f t="shared" si="0"/>
        <v>391.99543598174972</v>
      </c>
      <c r="C39" s="2"/>
      <c r="E39" s="5"/>
      <c r="F39" s="5"/>
      <c r="G39" s="5"/>
    </row>
    <row r="40" spans="1:7">
      <c r="A40" t="s">
        <v>17</v>
      </c>
      <c r="B40" s="20">
        <f t="shared" si="0"/>
        <v>415.30469757994558</v>
      </c>
      <c r="C40" s="3"/>
      <c r="E40" s="5"/>
      <c r="F40" s="5"/>
      <c r="G40" s="5"/>
    </row>
    <row r="41" spans="1:7">
      <c r="A41" t="s">
        <v>0</v>
      </c>
      <c r="B41" s="20">
        <f t="shared" si="0"/>
        <v>440.00000000000051</v>
      </c>
      <c r="C41" s="2"/>
      <c r="E41" s="5"/>
      <c r="F41" s="5"/>
      <c r="G41" s="5"/>
    </row>
    <row r="42" spans="1:7">
      <c r="A42" t="s">
        <v>8</v>
      </c>
      <c r="B42" s="20">
        <f t="shared" si="0"/>
        <v>466.1637615180905</v>
      </c>
      <c r="C42" s="3"/>
      <c r="E42" s="5"/>
      <c r="F42" s="5"/>
      <c r="G42" s="5"/>
    </row>
    <row r="43" spans="1:7">
      <c r="A43" t="s">
        <v>9</v>
      </c>
      <c r="B43" s="20">
        <f t="shared" si="0"/>
        <v>493.88330125612475</v>
      </c>
      <c r="C43" s="2"/>
      <c r="E43" s="5"/>
      <c r="F43" s="5"/>
      <c r="G43" s="5"/>
    </row>
    <row r="44" spans="1:7">
      <c r="A44" s="13" t="s">
        <v>29</v>
      </c>
      <c r="B44" s="21">
        <f t="shared" si="0"/>
        <v>523.25113060119793</v>
      </c>
      <c r="C44" s="14"/>
      <c r="E44" s="5"/>
      <c r="F44" s="5"/>
      <c r="G44" s="5"/>
    </row>
    <row r="45" spans="1:7">
      <c r="A45" t="s">
        <v>10</v>
      </c>
      <c r="B45" s="20">
        <f t="shared" si="0"/>
        <v>554.36526195374495</v>
      </c>
      <c r="C45" s="3"/>
      <c r="E45" s="5"/>
      <c r="F45" s="5"/>
      <c r="G45" s="5"/>
    </row>
    <row r="46" spans="1:7">
      <c r="A46" t="s">
        <v>11</v>
      </c>
      <c r="B46" s="20">
        <f t="shared" si="0"/>
        <v>587.32953583481594</v>
      </c>
      <c r="C46" s="2"/>
      <c r="E46" s="5"/>
      <c r="F46" s="5"/>
      <c r="G46" s="5"/>
    </row>
    <row r="47" spans="1:7">
      <c r="A47" t="s">
        <v>12</v>
      </c>
      <c r="B47" s="20">
        <f t="shared" si="0"/>
        <v>622.25396744416275</v>
      </c>
      <c r="C47" s="3"/>
      <c r="E47" s="5"/>
      <c r="F47" s="5"/>
      <c r="G47" s="5"/>
    </row>
    <row r="48" spans="1:7">
      <c r="A48" t="s">
        <v>13</v>
      </c>
      <c r="B48" s="149">
        <f t="shared" si="0"/>
        <v>659.25511382574086</v>
      </c>
      <c r="C48" s="2"/>
      <c r="E48" s="5"/>
      <c r="F48" s="5"/>
      <c r="G48" s="5"/>
    </row>
    <row r="49" spans="1:7">
      <c r="A49" t="s">
        <v>14</v>
      </c>
      <c r="B49" s="20">
        <f t="shared" si="0"/>
        <v>698.45646286600891</v>
      </c>
      <c r="C49" s="2"/>
      <c r="E49" s="5"/>
      <c r="F49" s="5"/>
      <c r="G49" s="5"/>
    </row>
    <row r="50" spans="1:7">
      <c r="A50" t="s">
        <v>15</v>
      </c>
      <c r="B50" s="20">
        <f t="shared" si="0"/>
        <v>739.98884542327005</v>
      </c>
      <c r="C50" s="3"/>
      <c r="E50" s="5"/>
      <c r="F50" s="5"/>
      <c r="G50" s="5"/>
    </row>
    <row r="51" spans="1:7">
      <c r="A51" t="s">
        <v>16</v>
      </c>
      <c r="B51" s="20">
        <f t="shared" si="0"/>
        <v>783.9908719634999</v>
      </c>
      <c r="C51" s="2"/>
      <c r="E51" s="5"/>
      <c r="F51" s="5"/>
      <c r="G51" s="5"/>
    </row>
    <row r="52" spans="1:7">
      <c r="A52" t="s">
        <v>17</v>
      </c>
      <c r="B52" s="20">
        <f t="shared" si="0"/>
        <v>830.60939515989173</v>
      </c>
      <c r="C52" s="3"/>
      <c r="E52" s="5"/>
      <c r="F52" s="5"/>
      <c r="G52" s="5"/>
    </row>
    <row r="53" spans="1:7">
      <c r="A53" t="s">
        <v>4</v>
      </c>
      <c r="B53" s="20">
        <f t="shared" si="0"/>
        <v>880.00000000000159</v>
      </c>
      <c r="C53" s="2"/>
      <c r="E53" s="5"/>
      <c r="F53" s="5"/>
      <c r="G53" s="5"/>
    </row>
    <row r="54" spans="1:7">
      <c r="A54" t="s">
        <v>8</v>
      </c>
      <c r="B54" s="20">
        <f t="shared" si="0"/>
        <v>932.32752303618156</v>
      </c>
      <c r="C54" s="3"/>
      <c r="E54" s="5"/>
      <c r="F54" s="5"/>
      <c r="G54" s="5"/>
    </row>
    <row r="55" spans="1:7">
      <c r="A55" t="s">
        <v>9</v>
      </c>
      <c r="B55" s="20">
        <f t="shared" si="0"/>
        <v>987.76660251225007</v>
      </c>
      <c r="C55" s="2"/>
      <c r="E55" s="5"/>
      <c r="F55" s="5"/>
      <c r="G55" s="5"/>
    </row>
    <row r="56" spans="1:7">
      <c r="A56" s="13" t="s">
        <v>30</v>
      </c>
      <c r="B56" s="21">
        <f t="shared" si="0"/>
        <v>1046.5022612023965</v>
      </c>
      <c r="C56" s="14"/>
      <c r="E56" s="5"/>
      <c r="F56" s="5"/>
      <c r="G56" s="5"/>
    </row>
    <row r="57" spans="1:7">
      <c r="A57" t="s">
        <v>10</v>
      </c>
      <c r="B57" s="20">
        <f t="shared" si="0"/>
        <v>1108.7305239074906</v>
      </c>
      <c r="C57" s="3"/>
      <c r="E57" s="5"/>
      <c r="F57" s="5"/>
      <c r="G57" s="5"/>
    </row>
    <row r="58" spans="1:7">
      <c r="A58" t="s">
        <v>11</v>
      </c>
      <c r="B58" s="20">
        <f t="shared" si="0"/>
        <v>1174.6590716696326</v>
      </c>
      <c r="C58" s="2"/>
      <c r="E58" s="5"/>
      <c r="F58" s="5"/>
      <c r="G58" s="5"/>
    </row>
    <row r="59" spans="1:7">
      <c r="A59" t="s">
        <v>12</v>
      </c>
      <c r="B59" s="20">
        <f t="shared" si="0"/>
        <v>1244.5079348883262</v>
      </c>
      <c r="C59" s="3"/>
      <c r="E59" s="5"/>
      <c r="F59" s="5"/>
      <c r="G59" s="5"/>
    </row>
    <row r="60" spans="1:7">
      <c r="A60" t="s">
        <v>13</v>
      </c>
      <c r="B60" s="20">
        <f t="shared" si="0"/>
        <v>1318.5102276514824</v>
      </c>
      <c r="C60" s="2"/>
      <c r="E60" s="5"/>
      <c r="F60" s="5"/>
      <c r="G60" s="5"/>
    </row>
    <row r="61" spans="1:7">
      <c r="A61" t="s">
        <v>14</v>
      </c>
      <c r="B61" s="20">
        <f t="shared" si="0"/>
        <v>1396.9129257320185</v>
      </c>
      <c r="C61" s="2"/>
      <c r="E61" s="5"/>
      <c r="F61" s="5"/>
      <c r="G61" s="5"/>
    </row>
    <row r="62" spans="1:7">
      <c r="A62" t="s">
        <v>15</v>
      </c>
      <c r="B62" s="20">
        <f t="shared" si="0"/>
        <v>1479.9776908465408</v>
      </c>
      <c r="C62" s="3"/>
      <c r="E62" s="5"/>
      <c r="F62" s="5"/>
      <c r="G62" s="5"/>
    </row>
    <row r="63" spans="1:7">
      <c r="A63" t="s">
        <v>16</v>
      </c>
      <c r="B63" s="20">
        <f t="shared" si="0"/>
        <v>1567.9817439270007</v>
      </c>
      <c r="C63" s="2"/>
      <c r="E63" s="5"/>
      <c r="F63" s="5"/>
      <c r="G63" s="5"/>
    </row>
    <row r="64" spans="1:7">
      <c r="A64" t="s">
        <v>17</v>
      </c>
      <c r="B64" s="20">
        <f t="shared" si="0"/>
        <v>1661.2187903197844</v>
      </c>
      <c r="C64" s="3"/>
      <c r="E64" s="5"/>
      <c r="F64" s="5"/>
      <c r="G64" s="5"/>
    </row>
    <row r="65" spans="1:7">
      <c r="A65" t="s">
        <v>5</v>
      </c>
      <c r="B65" s="20">
        <f t="shared" si="0"/>
        <v>1760.0000000000041</v>
      </c>
      <c r="C65" s="2"/>
      <c r="E65" s="5"/>
      <c r="F65" s="5"/>
      <c r="G65" s="5"/>
    </row>
    <row r="66" spans="1:7">
      <c r="A66" t="s">
        <v>8</v>
      </c>
      <c r="B66" s="20">
        <f t="shared" si="0"/>
        <v>1864.655046072364</v>
      </c>
      <c r="C66" s="3"/>
      <c r="E66" s="5"/>
      <c r="F66" s="5"/>
      <c r="G66" s="5"/>
    </row>
    <row r="67" spans="1:7">
      <c r="A67" t="s">
        <v>9</v>
      </c>
      <c r="B67" s="20">
        <f t="shared" si="0"/>
        <v>1975.5332050245011</v>
      </c>
      <c r="C67" s="2"/>
      <c r="E67" s="5"/>
      <c r="F67" s="5"/>
      <c r="G67" s="5"/>
    </row>
    <row r="68" spans="1:7">
      <c r="A68" s="13" t="s">
        <v>31</v>
      </c>
      <c r="B68" s="21">
        <f t="shared" si="0"/>
        <v>2093.004522404794</v>
      </c>
      <c r="C68" s="14"/>
      <c r="E68" s="5"/>
      <c r="F68" s="5"/>
      <c r="G68" s="5"/>
    </row>
    <row r="69" spans="1:7">
      <c r="A69" t="s">
        <v>10</v>
      </c>
      <c r="B69" s="20">
        <f t="shared" si="0"/>
        <v>2217.4610478149821</v>
      </c>
      <c r="C69" s="3"/>
      <c r="E69" s="5"/>
      <c r="F69" s="5"/>
      <c r="G69" s="5"/>
    </row>
    <row r="70" spans="1:7">
      <c r="A70" t="s">
        <v>11</v>
      </c>
      <c r="B70" s="20">
        <f t="shared" si="0"/>
        <v>2349.318143339266</v>
      </c>
      <c r="C70" s="2"/>
      <c r="E70" s="5"/>
      <c r="F70" s="5"/>
      <c r="G70" s="5"/>
    </row>
    <row r="71" spans="1:7">
      <c r="A71" t="s">
        <v>12</v>
      </c>
      <c r="B71" s="20">
        <f t="shared" ref="B71:B89" si="4">B70*2^(1/12)</f>
        <v>2489.0158697766533</v>
      </c>
      <c r="C71" s="3"/>
      <c r="E71" s="5"/>
      <c r="F71" s="5"/>
      <c r="G71" s="5"/>
    </row>
    <row r="72" spans="1:7">
      <c r="A72" t="s">
        <v>13</v>
      </c>
      <c r="B72" s="20">
        <f t="shared" si="4"/>
        <v>2637.0204553029657</v>
      </c>
      <c r="C72" s="2"/>
      <c r="E72" s="5"/>
      <c r="F72" s="5"/>
      <c r="G72" s="5"/>
    </row>
    <row r="73" spans="1:7">
      <c r="A73" t="s">
        <v>14</v>
      </c>
      <c r="B73" s="20">
        <f t="shared" si="4"/>
        <v>2793.8258514640379</v>
      </c>
      <c r="C73" s="2"/>
      <c r="E73" s="5"/>
      <c r="F73" s="5"/>
      <c r="G73" s="5"/>
    </row>
    <row r="74" spans="1:7">
      <c r="A74" t="s">
        <v>15</v>
      </c>
      <c r="B74" s="20">
        <f t="shared" si="4"/>
        <v>2959.9553816930825</v>
      </c>
      <c r="C74" s="3"/>
      <c r="E74" s="5"/>
      <c r="F74" s="5"/>
      <c r="G74" s="5"/>
    </row>
    <row r="75" spans="1:7">
      <c r="A75" t="s">
        <v>16</v>
      </c>
      <c r="B75" s="20">
        <f t="shared" si="4"/>
        <v>3135.9634878540023</v>
      </c>
      <c r="C75" s="2"/>
      <c r="E75" s="5"/>
      <c r="F75" s="5"/>
      <c r="G75" s="5"/>
    </row>
    <row r="76" spans="1:7">
      <c r="A76" t="s">
        <v>17</v>
      </c>
      <c r="B76" s="20">
        <f t="shared" si="4"/>
        <v>3322.4375806395697</v>
      </c>
      <c r="C76" s="3"/>
      <c r="E76" s="5"/>
      <c r="F76" s="5"/>
      <c r="G76" s="5"/>
    </row>
    <row r="77" spans="1:7">
      <c r="A77" t="s">
        <v>6</v>
      </c>
      <c r="B77" s="20">
        <f t="shared" si="4"/>
        <v>3520.0000000000091</v>
      </c>
      <c r="C77" s="2"/>
      <c r="E77" s="5"/>
      <c r="F77" s="5"/>
      <c r="G77" s="5"/>
    </row>
    <row r="78" spans="1:7">
      <c r="A78" t="s">
        <v>8</v>
      </c>
      <c r="B78" s="20">
        <f t="shared" si="4"/>
        <v>3729.310092144729</v>
      </c>
      <c r="C78" s="3"/>
      <c r="E78" s="5"/>
      <c r="F78" s="5"/>
      <c r="G78" s="5"/>
    </row>
    <row r="79" spans="1:7">
      <c r="A79" t="s">
        <v>9</v>
      </c>
      <c r="B79" s="20">
        <f t="shared" si="4"/>
        <v>3951.0664100490035</v>
      </c>
      <c r="C79" s="2"/>
      <c r="E79" s="5"/>
      <c r="F79" s="5"/>
      <c r="G79" s="5"/>
    </row>
    <row r="80" spans="1:7">
      <c r="A80" s="13" t="s">
        <v>27</v>
      </c>
      <c r="B80" s="21">
        <f t="shared" si="4"/>
        <v>4186.0090448095898</v>
      </c>
      <c r="C80" s="14"/>
      <c r="E80" s="5"/>
      <c r="F80" s="5"/>
      <c r="G80" s="5"/>
    </row>
    <row r="81" spans="1:7">
      <c r="A81" t="s">
        <v>10</v>
      </c>
      <c r="B81" s="20">
        <f t="shared" si="4"/>
        <v>4434.922095629966</v>
      </c>
      <c r="C81" s="3"/>
      <c r="E81" s="5"/>
      <c r="F81" s="5"/>
      <c r="G81" s="5"/>
    </row>
    <row r="82" spans="1:7">
      <c r="A82" t="s">
        <v>11</v>
      </c>
      <c r="B82" s="20">
        <f t="shared" si="4"/>
        <v>4698.6362866785339</v>
      </c>
      <c r="C82" s="2"/>
      <c r="E82" s="5"/>
      <c r="F82" s="5"/>
      <c r="G82" s="5"/>
    </row>
    <row r="83" spans="1:7">
      <c r="A83" t="s">
        <v>12</v>
      </c>
      <c r="B83" s="20">
        <f t="shared" si="4"/>
        <v>4978.0317395533084</v>
      </c>
      <c r="C83" s="3"/>
      <c r="E83" s="5"/>
      <c r="F83" s="5"/>
      <c r="G83" s="5"/>
    </row>
    <row r="84" spans="1:7">
      <c r="A84" t="s">
        <v>13</v>
      </c>
      <c r="B84" s="20">
        <f t="shared" si="4"/>
        <v>5274.0409106059342</v>
      </c>
      <c r="C84" s="2"/>
      <c r="E84" s="5"/>
      <c r="F84" s="5"/>
      <c r="G84" s="5"/>
    </row>
    <row r="85" spans="1:7">
      <c r="A85" t="s">
        <v>14</v>
      </c>
      <c r="B85" s="20">
        <f t="shared" si="4"/>
        <v>5587.6517029280785</v>
      </c>
      <c r="C85" s="2"/>
      <c r="E85" s="5"/>
      <c r="F85" s="5"/>
      <c r="G85" s="5"/>
    </row>
    <row r="86" spans="1:7">
      <c r="A86" t="s">
        <v>15</v>
      </c>
      <c r="B86" s="20">
        <f t="shared" si="4"/>
        <v>5919.9107633861677</v>
      </c>
      <c r="C86" s="3"/>
      <c r="E86" s="5"/>
      <c r="F86" s="5"/>
      <c r="G86" s="5"/>
    </row>
    <row r="87" spans="1:7">
      <c r="A87" t="s">
        <v>16</v>
      </c>
      <c r="B87" s="20">
        <f t="shared" si="4"/>
        <v>6271.9269757080074</v>
      </c>
      <c r="C87" s="2"/>
      <c r="E87" s="5"/>
      <c r="F87" s="5"/>
      <c r="G87" s="5"/>
    </row>
    <row r="88" spans="1:7">
      <c r="A88" t="s">
        <v>17</v>
      </c>
      <c r="B88" s="20">
        <f t="shared" si="4"/>
        <v>6644.875161279142</v>
      </c>
      <c r="C88" s="3"/>
      <c r="E88" s="5"/>
      <c r="F88" s="5"/>
      <c r="G88" s="5"/>
    </row>
    <row r="89" spans="1:7">
      <c r="A89" t="s">
        <v>26</v>
      </c>
      <c r="B89" s="20">
        <f t="shared" si="4"/>
        <v>7040.0000000000209</v>
      </c>
      <c r="C89" s="4"/>
      <c r="E89" s="5"/>
      <c r="F89" s="5"/>
      <c r="G89" s="5"/>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A1:V29"/>
  <sheetViews>
    <sheetView topLeftCell="G1" workbookViewId="0">
      <selection activeCell="P4" sqref="P4:Q11"/>
    </sheetView>
  </sheetViews>
  <sheetFormatPr baseColWidth="10" defaultRowHeight="15"/>
  <cols>
    <col min="1" max="1" width="7.7109375" customWidth="1"/>
    <col min="3" max="3" width="11" customWidth="1"/>
    <col min="4" max="4" width="7.7109375" customWidth="1"/>
    <col min="5" max="5" width="7.5703125" customWidth="1"/>
    <col min="6" max="6" width="11.5703125" bestFit="1" customWidth="1"/>
    <col min="7" max="7" width="8" customWidth="1"/>
    <col min="9" max="9" width="10" customWidth="1"/>
    <col min="10" max="10" width="13" style="5" customWidth="1"/>
    <col min="16" max="16" width="7.28515625" customWidth="1"/>
    <col min="18" max="18" width="10" customWidth="1"/>
    <col min="19" max="19" width="10.5703125" customWidth="1"/>
  </cols>
  <sheetData>
    <row r="1" spans="1:22" ht="18.75">
      <c r="A1" s="25" t="s">
        <v>48</v>
      </c>
      <c r="P1" t="s">
        <v>108</v>
      </c>
    </row>
    <row r="2" spans="1:22" ht="19.5" thickBot="1">
      <c r="A2" s="25"/>
    </row>
    <row r="3" spans="1:22" ht="15.75" thickBot="1">
      <c r="A3" t="s">
        <v>50</v>
      </c>
      <c r="E3" s="37"/>
      <c r="F3" s="37"/>
      <c r="G3" s="37"/>
      <c r="P3" s="109" t="s">
        <v>107</v>
      </c>
      <c r="Q3" s="110" t="s">
        <v>106</v>
      </c>
      <c r="R3" s="110" t="s">
        <v>105</v>
      </c>
      <c r="S3" s="118" t="s">
        <v>104</v>
      </c>
      <c r="T3" s="123" t="s">
        <v>75</v>
      </c>
      <c r="V3" s="9" t="s">
        <v>120</v>
      </c>
    </row>
    <row r="4" spans="1:22">
      <c r="A4" s="4"/>
      <c r="B4" s="6" t="s">
        <v>49</v>
      </c>
      <c r="C4" s="26" t="s">
        <v>43</v>
      </c>
      <c r="D4" s="43" t="s">
        <v>19</v>
      </c>
      <c r="E4" s="43" t="s">
        <v>51</v>
      </c>
      <c r="G4" t="s">
        <v>36</v>
      </c>
      <c r="J4" s="5" t="s">
        <v>37</v>
      </c>
      <c r="K4" s="5" t="s">
        <v>19</v>
      </c>
      <c r="P4" s="68" t="s">
        <v>55</v>
      </c>
      <c r="Q4" s="117" t="s">
        <v>62</v>
      </c>
      <c r="R4" s="121">
        <v>329.62755691287026</v>
      </c>
      <c r="S4" s="128">
        <f>1200*(LN(R4/T4)/LN(2))</f>
        <v>0</v>
      </c>
      <c r="T4" s="125">
        <v>329.62755691287026</v>
      </c>
      <c r="V4" s="148">
        <v>1</v>
      </c>
    </row>
    <row r="5" spans="1:22">
      <c r="A5" s="6" t="s">
        <v>38</v>
      </c>
      <c r="B5" s="23">
        <v>261.62556530059879</v>
      </c>
      <c r="C5" s="27">
        <f>B5</f>
        <v>261.62556530059879</v>
      </c>
      <c r="D5" s="26">
        <v>0</v>
      </c>
      <c r="E5" s="4">
        <v>0</v>
      </c>
      <c r="G5" s="39" t="s">
        <v>38</v>
      </c>
      <c r="H5" s="36">
        <v>261.62556530059879</v>
      </c>
      <c r="I5" s="24"/>
      <c r="J5" s="44">
        <f>C5</f>
        <v>261.62556530059879</v>
      </c>
      <c r="K5" s="42">
        <f>1200*(LN(J5/H5)/LN(2))</f>
        <v>0</v>
      </c>
      <c r="P5" s="115" t="s">
        <v>56</v>
      </c>
      <c r="Q5" s="131" t="s">
        <v>65</v>
      </c>
      <c r="R5" s="49">
        <f>R4*8/9</f>
        <v>293.00227281144021</v>
      </c>
      <c r="S5" s="129">
        <f t="shared" ref="S5:S11" si="0">1200*(LN(R5/T5)/LN(2))</f>
        <v>-3.9100017307746739</v>
      </c>
      <c r="T5" s="126">
        <v>293.6647679174078</v>
      </c>
      <c r="V5" s="148">
        <f>8/9</f>
        <v>0.88888888888888884</v>
      </c>
    </row>
    <row r="6" spans="1:22">
      <c r="A6" s="6" t="s">
        <v>16</v>
      </c>
      <c r="B6" s="27">
        <f>B5*3/2</f>
        <v>392.43834795089822</v>
      </c>
      <c r="C6" s="27">
        <f>B6</f>
        <v>392.43834795089822</v>
      </c>
      <c r="D6" s="26">
        <v>1.9550008653868458</v>
      </c>
      <c r="E6" s="4">
        <v>2</v>
      </c>
      <c r="G6" s="40" t="s">
        <v>41</v>
      </c>
      <c r="H6" s="22">
        <v>277.1826309768723</v>
      </c>
      <c r="I6" s="3"/>
      <c r="J6" s="44">
        <f>C18</f>
        <v>275.62199471997241</v>
      </c>
      <c r="K6" s="34">
        <f t="shared" ref="K6:K17" si="1">1200*(LN(J6/H6)/LN(2))</f>
        <v>-9.7750043269373208</v>
      </c>
      <c r="P6" s="115" t="s">
        <v>57</v>
      </c>
      <c r="Q6" s="132" t="s">
        <v>65</v>
      </c>
      <c r="R6" s="49">
        <f>R5*8/9</f>
        <v>260.44646472128017</v>
      </c>
      <c r="S6" s="129">
        <f t="shared" si="0"/>
        <v>-7.8200034615493044</v>
      </c>
      <c r="T6" s="126">
        <v>261.62556530059879</v>
      </c>
      <c r="U6" s="16"/>
      <c r="V6" s="148">
        <f>V5*8/9</f>
        <v>0.79012345679012341</v>
      </c>
    </row>
    <row r="7" spans="1:22">
      <c r="A7" s="6" t="s">
        <v>11</v>
      </c>
      <c r="B7" s="27">
        <f t="shared" ref="B7:B11" si="2">B6*3/2</f>
        <v>588.65752192634727</v>
      </c>
      <c r="C7" s="27">
        <f>B7/2</f>
        <v>294.32876096317364</v>
      </c>
      <c r="D7" s="26">
        <v>3.9100017307743689</v>
      </c>
      <c r="E7" s="4">
        <v>4</v>
      </c>
      <c r="G7" s="40" t="s">
        <v>11</v>
      </c>
      <c r="H7" s="22">
        <v>293.6647679174078</v>
      </c>
      <c r="I7" s="2"/>
      <c r="J7" s="44">
        <f>C7</f>
        <v>294.32876096317364</v>
      </c>
      <c r="K7" s="34">
        <f t="shared" si="1"/>
        <v>3.9100017307743689</v>
      </c>
      <c r="P7" s="115" t="s">
        <v>58</v>
      </c>
      <c r="Q7" s="131" t="s">
        <v>101</v>
      </c>
      <c r="R7" s="49">
        <f>R6*243/256</f>
        <v>247.22066768465265</v>
      </c>
      <c r="S7" s="129">
        <f t="shared" si="0"/>
        <v>1.9550008653864619</v>
      </c>
      <c r="T7" s="126">
        <v>246.94165062806238</v>
      </c>
      <c r="U7" s="54"/>
      <c r="V7" s="148">
        <f>V6*243/256</f>
        <v>0.75</v>
      </c>
    </row>
    <row r="8" spans="1:22">
      <c r="A8" s="6" t="s">
        <v>18</v>
      </c>
      <c r="B8" s="27">
        <f t="shared" si="2"/>
        <v>882.98628288952091</v>
      </c>
      <c r="C8" s="27">
        <f>B8/2</f>
        <v>441.49314144476045</v>
      </c>
      <c r="D8" s="26">
        <v>5.8650025961611538</v>
      </c>
      <c r="E8" s="4">
        <v>6</v>
      </c>
      <c r="G8" s="40" t="s">
        <v>39</v>
      </c>
      <c r="H8" s="22">
        <v>311.12698372208121</v>
      </c>
      <c r="I8" s="3"/>
      <c r="J8" s="44">
        <f>C16</f>
        <v>310.07474405996896</v>
      </c>
      <c r="K8" s="34">
        <f t="shared" si="1"/>
        <v>-5.8650025961626593</v>
      </c>
      <c r="P8" s="115" t="s">
        <v>59</v>
      </c>
      <c r="Q8" s="119" t="s">
        <v>65</v>
      </c>
      <c r="R8" s="49">
        <f>R4*2/3</f>
        <v>219.75170460858018</v>
      </c>
      <c r="S8" s="129">
        <f t="shared" si="0"/>
        <v>-1.9550008653856608</v>
      </c>
      <c r="T8" s="126">
        <v>220</v>
      </c>
      <c r="U8" s="124"/>
      <c r="V8" s="148">
        <f>V7*8/9</f>
        <v>0.66666666666666663</v>
      </c>
    </row>
    <row r="9" spans="1:22">
      <c r="A9" s="6" t="s">
        <v>13</v>
      </c>
      <c r="B9" s="27">
        <f t="shared" si="2"/>
        <v>1324.4794243342812</v>
      </c>
      <c r="C9" s="27">
        <f>B9/4</f>
        <v>331.11985608357031</v>
      </c>
      <c r="D9" s="26">
        <v>7.8200034615487954</v>
      </c>
      <c r="E9" s="4">
        <v>8</v>
      </c>
      <c r="G9" s="40" t="s">
        <v>13</v>
      </c>
      <c r="H9" s="22">
        <v>329.62755691287026</v>
      </c>
      <c r="I9" s="2"/>
      <c r="J9" s="44">
        <f>C9</f>
        <v>331.11985608357031</v>
      </c>
      <c r="K9" s="34">
        <f t="shared" si="1"/>
        <v>7.8200034615487954</v>
      </c>
      <c r="P9" s="115" t="s">
        <v>60</v>
      </c>
      <c r="Q9" s="119" t="s">
        <v>65</v>
      </c>
      <c r="R9" s="49">
        <f>R8*8/9</f>
        <v>195.33484854096017</v>
      </c>
      <c r="S9" s="129">
        <f t="shared" si="0"/>
        <v>-5.8650025961622729</v>
      </c>
      <c r="T9" s="126">
        <v>195.99771799087486</v>
      </c>
      <c r="U9" s="54"/>
      <c r="V9" s="148">
        <f>V8*8/9</f>
        <v>0.59259259259259256</v>
      </c>
    </row>
    <row r="10" spans="1:22">
      <c r="A10" s="6" t="s">
        <v>9</v>
      </c>
      <c r="B10" s="27">
        <f t="shared" si="2"/>
        <v>1986.7191365014219</v>
      </c>
      <c r="C10" s="27">
        <f>B10/4</f>
        <v>496.67978412535547</v>
      </c>
      <c r="D10" s="26">
        <v>9.7750043269356457</v>
      </c>
      <c r="E10" s="4">
        <v>10</v>
      </c>
      <c r="G10" s="40" t="s">
        <v>14</v>
      </c>
      <c r="H10" s="22">
        <v>349.22823143300423</v>
      </c>
      <c r="I10" s="2"/>
      <c r="J10" s="44">
        <f>C14</f>
        <v>348.83408706746508</v>
      </c>
      <c r="K10" s="34">
        <f t="shared" si="1"/>
        <v>-1.9550008653879698</v>
      </c>
      <c r="P10" s="115" t="s">
        <v>61</v>
      </c>
      <c r="Q10" s="119" t="s">
        <v>65</v>
      </c>
      <c r="R10" s="49">
        <f>R9*8/9</f>
        <v>173.63097648085349</v>
      </c>
      <c r="S10" s="129">
        <f t="shared" si="0"/>
        <v>-9.7750043269369336</v>
      </c>
      <c r="T10" s="126">
        <v>174.61411571650211</v>
      </c>
      <c r="U10" s="54"/>
      <c r="V10" s="148">
        <f>V9*8/9</f>
        <v>0.52674897119341557</v>
      </c>
    </row>
    <row r="11" spans="1:22" ht="15.75" thickBot="1">
      <c r="A11" s="6" t="s">
        <v>15</v>
      </c>
      <c r="B11" s="27">
        <f t="shared" si="2"/>
        <v>2980.0787047521326</v>
      </c>
      <c r="C11" s="27">
        <f>B11/8</f>
        <v>372.50983809401657</v>
      </c>
      <c r="D11" s="26">
        <v>11.730005192323214</v>
      </c>
      <c r="E11" s="4">
        <v>12</v>
      </c>
      <c r="G11" s="40" t="s">
        <v>15</v>
      </c>
      <c r="H11" s="22">
        <v>369.9944227116348</v>
      </c>
      <c r="I11" s="3"/>
      <c r="J11" s="44">
        <f>C11</f>
        <v>372.50983809401657</v>
      </c>
      <c r="K11" s="42">
        <f t="shared" si="1"/>
        <v>11.730005192323214</v>
      </c>
      <c r="M11" s="35" t="s">
        <v>46</v>
      </c>
      <c r="N11" s="35"/>
      <c r="P11" s="116" t="s">
        <v>55</v>
      </c>
      <c r="Q11" s="120" t="s">
        <v>101</v>
      </c>
      <c r="R11" s="122">
        <f>R10*243/256</f>
        <v>164.81377845643516</v>
      </c>
      <c r="S11" s="130">
        <f t="shared" si="0"/>
        <v>3.8441118045779013E-13</v>
      </c>
      <c r="T11" s="127">
        <v>164.81377845643513</v>
      </c>
      <c r="U11" s="54"/>
      <c r="V11" s="148">
        <f>V10*243/256</f>
        <v>0.49999999999999994</v>
      </c>
    </row>
    <row r="12" spans="1:22">
      <c r="A12" s="6"/>
      <c r="B12" s="27"/>
      <c r="C12" s="27"/>
      <c r="D12" s="26"/>
      <c r="E12" s="4"/>
      <c r="G12" s="41" t="s">
        <v>42</v>
      </c>
      <c r="H12" s="22">
        <v>369.9944227116348</v>
      </c>
      <c r="I12" s="38"/>
      <c r="J12" s="45">
        <f>C19</f>
        <v>367.49599295996319</v>
      </c>
      <c r="K12" s="42">
        <f t="shared" si="1"/>
        <v>-11.730005192325402</v>
      </c>
      <c r="M12" s="28" t="s">
        <v>44</v>
      </c>
      <c r="N12" s="29"/>
      <c r="P12" s="5" t="s">
        <v>103</v>
      </c>
      <c r="Q12" s="5">
        <f>8*8*8*8*8*243*243/(9*9*9*9*9*256*256)</f>
        <v>0.5</v>
      </c>
      <c r="R12" s="5"/>
      <c r="S12" s="5"/>
    </row>
    <row r="13" spans="1:22">
      <c r="A13" s="6" t="s">
        <v>38</v>
      </c>
      <c r="B13" s="27">
        <f>B5</f>
        <v>261.62556530059879</v>
      </c>
      <c r="C13" s="27">
        <f>B13</f>
        <v>261.62556530059879</v>
      </c>
      <c r="D13" s="26"/>
      <c r="E13" s="4">
        <v>0</v>
      </c>
      <c r="G13" s="40" t="s">
        <v>16</v>
      </c>
      <c r="H13" s="22">
        <v>391.99543598174972</v>
      </c>
      <c r="I13" s="2"/>
      <c r="J13" s="44">
        <f>C6</f>
        <v>392.43834795089822</v>
      </c>
      <c r="K13" s="34">
        <f t="shared" si="1"/>
        <v>1.9550008653868458</v>
      </c>
      <c r="M13" s="6" t="s">
        <v>47</v>
      </c>
      <c r="N13" s="28">
        <f>J12/J11</f>
        <v>0.98654036854514437</v>
      </c>
    </row>
    <row r="14" spans="1:22">
      <c r="A14" s="6" t="s">
        <v>14</v>
      </c>
      <c r="B14" s="27">
        <f>B13*2/3</f>
        <v>174.41704353373254</v>
      </c>
      <c r="C14" s="27">
        <f>B14*2</f>
        <v>348.83408706746508</v>
      </c>
      <c r="D14" s="26">
        <v>-1.9550008653879698</v>
      </c>
      <c r="E14" s="4">
        <v>-2</v>
      </c>
      <c r="G14" s="40" t="s">
        <v>40</v>
      </c>
      <c r="H14" s="22">
        <v>415.30469757994558</v>
      </c>
      <c r="I14" s="3"/>
      <c r="J14" s="44">
        <f>C17</f>
        <v>413.43299207995864</v>
      </c>
      <c r="K14" s="34">
        <f t="shared" si="1"/>
        <v>-7.8200034615502698</v>
      </c>
      <c r="M14" s="9" t="s">
        <v>45</v>
      </c>
      <c r="N14" s="30">
        <f>1200*(LN(J12/J11)/LN(2))</f>
        <v>-23.460010384648776</v>
      </c>
      <c r="P14" t="s">
        <v>102</v>
      </c>
    </row>
    <row r="15" spans="1:22">
      <c r="A15" s="6" t="s">
        <v>8</v>
      </c>
      <c r="B15" s="27">
        <f t="shared" ref="B15:B18" si="3">B14*2/3</f>
        <v>116.27802902248835</v>
      </c>
      <c r="C15" s="27">
        <f>B15*4</f>
        <v>465.11211608995342</v>
      </c>
      <c r="D15" s="26">
        <v>-3.910001730775829</v>
      </c>
      <c r="E15" s="4">
        <v>-4</v>
      </c>
      <c r="G15" s="40" t="s">
        <v>18</v>
      </c>
      <c r="H15" s="22">
        <v>440.00000000000051</v>
      </c>
      <c r="I15" s="2"/>
      <c r="J15" s="44">
        <f>C8</f>
        <v>441.49314144476045</v>
      </c>
      <c r="K15" s="34">
        <f t="shared" si="1"/>
        <v>5.8650025961611538</v>
      </c>
    </row>
    <row r="16" spans="1:22">
      <c r="A16" s="6" t="s">
        <v>39</v>
      </c>
      <c r="B16" s="27">
        <f t="shared" si="3"/>
        <v>77.518686014992241</v>
      </c>
      <c r="C16" s="27">
        <f>B16*4</f>
        <v>310.07474405996896</v>
      </c>
      <c r="D16" s="26">
        <v>-5.8650025961626593</v>
      </c>
      <c r="E16" s="4">
        <v>-6</v>
      </c>
      <c r="G16" s="40" t="s">
        <v>8</v>
      </c>
      <c r="H16" s="22">
        <v>466.1637615180905</v>
      </c>
      <c r="I16" s="3"/>
      <c r="J16" s="44">
        <f>C15</f>
        <v>465.11211608995342</v>
      </c>
      <c r="K16" s="34">
        <f t="shared" si="1"/>
        <v>-3.910001730775829</v>
      </c>
      <c r="P16" t="s">
        <v>109</v>
      </c>
    </row>
    <row r="17" spans="1:20">
      <c r="A17" s="6" t="s">
        <v>40</v>
      </c>
      <c r="B17" s="27">
        <f t="shared" si="3"/>
        <v>51.67912400999483</v>
      </c>
      <c r="C17" s="27">
        <f>B17*8</f>
        <v>413.43299207995864</v>
      </c>
      <c r="D17" s="26">
        <v>-7.8200034615502698</v>
      </c>
      <c r="E17" s="4">
        <v>-8</v>
      </c>
      <c r="G17" s="40" t="s">
        <v>9</v>
      </c>
      <c r="H17" s="22">
        <v>493.88330125612475</v>
      </c>
      <c r="I17" s="2"/>
      <c r="J17" s="44">
        <f>C10</f>
        <v>496.67978412535547</v>
      </c>
      <c r="K17" s="34">
        <f t="shared" si="1"/>
        <v>9.7750043269356457</v>
      </c>
      <c r="P17" t="s">
        <v>110</v>
      </c>
    </row>
    <row r="18" spans="1:20" ht="15.75" thickBot="1">
      <c r="A18" s="6" t="s">
        <v>41</v>
      </c>
      <c r="B18" s="27">
        <f t="shared" si="3"/>
        <v>34.452749339996551</v>
      </c>
      <c r="C18" s="27">
        <f>B18*8</f>
        <v>275.62199471997241</v>
      </c>
      <c r="D18" s="26">
        <v>-9.7750043269373208</v>
      </c>
      <c r="E18" s="4">
        <v>-10</v>
      </c>
    </row>
    <row r="19" spans="1:20" ht="15.75" thickBot="1">
      <c r="A19" s="6" t="s">
        <v>42</v>
      </c>
      <c r="B19" s="27">
        <f>B18*2/3</f>
        <v>22.968499559997699</v>
      </c>
      <c r="C19" s="27">
        <f>B19*16</f>
        <v>367.49599295996319</v>
      </c>
      <c r="D19" s="26">
        <v>-11.730005192325402</v>
      </c>
      <c r="E19" s="4">
        <v>-12</v>
      </c>
      <c r="P19" s="109" t="s">
        <v>107</v>
      </c>
      <c r="Q19" s="110" t="s">
        <v>106</v>
      </c>
      <c r="R19" s="110" t="s">
        <v>105</v>
      </c>
      <c r="S19" s="118" t="s">
        <v>104</v>
      </c>
      <c r="T19" s="123" t="s">
        <v>75</v>
      </c>
    </row>
    <row r="20" spans="1:20">
      <c r="G20" s="31"/>
      <c r="H20" s="32"/>
      <c r="I20" s="32"/>
      <c r="P20" s="68" t="s">
        <v>55</v>
      </c>
      <c r="Q20" s="117" t="s">
        <v>62</v>
      </c>
      <c r="R20" s="121">
        <v>329.62755691287026</v>
      </c>
      <c r="S20" s="128">
        <f>1200*(LN(R20/T20)/LN(2))</f>
        <v>0</v>
      </c>
      <c r="T20" s="125">
        <v>329.62755691287026</v>
      </c>
    </row>
    <row r="21" spans="1:20">
      <c r="P21" s="115" t="s">
        <v>56</v>
      </c>
      <c r="Q21" s="131" t="s">
        <v>65</v>
      </c>
      <c r="R21" s="49">
        <f>R24*4/3</f>
        <v>293.00227281144026</v>
      </c>
      <c r="S21" s="129">
        <f t="shared" ref="S21:S27" si="4">1200*(LN(R21/T21)/LN(2))</f>
        <v>-3.9100017307742876</v>
      </c>
      <c r="T21" s="126">
        <v>293.6647679174078</v>
      </c>
    </row>
    <row r="22" spans="1:20">
      <c r="P22" s="115" t="s">
        <v>57</v>
      </c>
      <c r="Q22" s="132" t="s">
        <v>65</v>
      </c>
      <c r="R22" s="49">
        <f>R25*4/3</f>
        <v>260.44646472128022</v>
      </c>
      <c r="S22" s="129">
        <f t="shared" si="4"/>
        <v>-7.820003461548918</v>
      </c>
      <c r="T22" s="126">
        <v>261.62556530059879</v>
      </c>
    </row>
    <row r="23" spans="1:20">
      <c r="P23" s="115" t="s">
        <v>58</v>
      </c>
      <c r="Q23" s="131" t="s">
        <v>101</v>
      </c>
      <c r="R23" s="49">
        <f>R20*3/4</f>
        <v>247.22066768465271</v>
      </c>
      <c r="S23" s="129">
        <f t="shared" si="4"/>
        <v>1.9550008653868458</v>
      </c>
      <c r="T23" s="126">
        <v>246.94165062806238</v>
      </c>
    </row>
    <row r="24" spans="1:20">
      <c r="P24" s="115" t="s">
        <v>59</v>
      </c>
      <c r="Q24" s="119" t="s">
        <v>65</v>
      </c>
      <c r="R24" s="49">
        <f>R20*2/3</f>
        <v>219.75170460858018</v>
      </c>
      <c r="S24" s="129">
        <f t="shared" si="4"/>
        <v>-1.9550008653856608</v>
      </c>
      <c r="T24" s="126">
        <v>220</v>
      </c>
    </row>
    <row r="25" spans="1:20">
      <c r="P25" s="115" t="s">
        <v>60</v>
      </c>
      <c r="Q25" s="119" t="s">
        <v>65</v>
      </c>
      <c r="R25" s="49">
        <f>R21*2/3</f>
        <v>195.33484854096017</v>
      </c>
      <c r="S25" s="129">
        <f t="shared" si="4"/>
        <v>-5.8650025961622729</v>
      </c>
      <c r="T25" s="126">
        <v>195.99771799087486</v>
      </c>
    </row>
    <row r="26" spans="1:20">
      <c r="P26" s="115" t="s">
        <v>61</v>
      </c>
      <c r="Q26" s="119" t="s">
        <v>65</v>
      </c>
      <c r="R26" s="49">
        <f>R22*2/3</f>
        <v>173.63097648085349</v>
      </c>
      <c r="S26" s="129">
        <f t="shared" si="4"/>
        <v>-9.7750043269369336</v>
      </c>
      <c r="T26" s="126">
        <v>174.61411571650211</v>
      </c>
    </row>
    <row r="27" spans="1:20" ht="15.75" thickBot="1">
      <c r="P27" s="116" t="s">
        <v>55</v>
      </c>
      <c r="Q27" s="120" t="s">
        <v>101</v>
      </c>
      <c r="R27" s="122">
        <f>R20/2</f>
        <v>164.81377845643513</v>
      </c>
      <c r="S27" s="130">
        <f t="shared" si="4"/>
        <v>0</v>
      </c>
      <c r="T27" s="127">
        <v>164.81377845643513</v>
      </c>
    </row>
    <row r="29" spans="1:20">
      <c r="P29" s="133" t="s">
        <v>111</v>
      </c>
    </row>
  </sheetData>
  <pageMargins left="0.7" right="0.7" top="0.78740157499999996" bottom="0.78740157499999996"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dimension ref="B1:R16"/>
  <sheetViews>
    <sheetView workbookViewId="0">
      <selection activeCell="C5" activeCellId="1" sqref="E5:E13 C5:C13"/>
    </sheetView>
  </sheetViews>
  <sheetFormatPr baseColWidth="10" defaultRowHeight="15"/>
  <cols>
    <col min="2" max="2" width="6.5703125" customWidth="1"/>
    <col min="3" max="3" width="4.42578125" customWidth="1"/>
    <col min="4" max="4" width="8.140625" style="47" customWidth="1"/>
    <col min="5" max="5" width="7.85546875" style="5" bestFit="1" customWidth="1"/>
    <col min="6" max="6" width="9.28515625" style="5" customWidth="1"/>
    <col min="7" max="7" width="6.5703125" style="5" customWidth="1"/>
    <col min="8" max="8" width="7.85546875" style="5" customWidth="1"/>
    <col min="9" max="9" width="9.28515625" style="5" customWidth="1"/>
    <col min="10" max="10" width="2.85546875" style="5" customWidth="1"/>
    <col min="11" max="12" width="6.5703125" style="5" customWidth="1"/>
    <col min="13" max="13" width="7.85546875" style="5" bestFit="1" customWidth="1"/>
    <col min="14" max="14" width="9.28515625" style="5" customWidth="1"/>
    <col min="15" max="15" width="7.5703125" style="5" bestFit="1" customWidth="1"/>
    <col min="16" max="17" width="14.7109375" customWidth="1"/>
    <col min="18" max="18" width="13.5703125" customWidth="1"/>
  </cols>
  <sheetData>
    <row r="1" spans="2:18" ht="15.75">
      <c r="B1" s="101" t="s">
        <v>95</v>
      </c>
    </row>
    <row r="2" spans="2:18" ht="15.75" thickBot="1"/>
    <row r="3" spans="2:18" ht="15.75" thickBot="1">
      <c r="C3" s="59"/>
      <c r="D3" s="113" t="s">
        <v>97</v>
      </c>
      <c r="E3" s="110"/>
      <c r="F3" s="111"/>
      <c r="G3" s="114" t="s">
        <v>98</v>
      </c>
      <c r="H3" s="110"/>
      <c r="I3" s="111"/>
      <c r="J3" s="114" t="s">
        <v>99</v>
      </c>
      <c r="K3" s="110"/>
      <c r="L3" s="110"/>
      <c r="M3" s="110"/>
      <c r="N3" s="111"/>
      <c r="P3" t="s">
        <v>121</v>
      </c>
    </row>
    <row r="4" spans="2:18" ht="15.75" thickBot="1">
      <c r="B4" s="108" t="s">
        <v>75</v>
      </c>
      <c r="C4" s="109"/>
      <c r="D4" s="110" t="s">
        <v>52</v>
      </c>
      <c r="E4" s="110"/>
      <c r="F4" s="111" t="s">
        <v>71</v>
      </c>
      <c r="G4" s="109" t="s">
        <v>53</v>
      </c>
      <c r="H4" s="110"/>
      <c r="I4" s="111" t="s">
        <v>71</v>
      </c>
      <c r="J4" s="109"/>
      <c r="K4" s="110" t="s">
        <v>75</v>
      </c>
      <c r="L4" s="110" t="s">
        <v>54</v>
      </c>
      <c r="M4" s="110"/>
      <c r="N4" s="111" t="s">
        <v>71</v>
      </c>
      <c r="P4" s="9" t="s">
        <v>52</v>
      </c>
      <c r="Q4" s="9" t="s">
        <v>53</v>
      </c>
      <c r="R4" s="9" t="s">
        <v>112</v>
      </c>
    </row>
    <row r="5" spans="2:18">
      <c r="B5" s="56">
        <v>329.62755691286998</v>
      </c>
      <c r="C5" s="48" t="s">
        <v>55</v>
      </c>
      <c r="D5" s="49">
        <v>329.62755691286998</v>
      </c>
      <c r="E5" s="49" t="s">
        <v>62</v>
      </c>
      <c r="F5" s="50">
        <f>1200*(LN(D5/B5)/LN(2))</f>
        <v>0</v>
      </c>
      <c r="G5" s="48">
        <v>329.62755691286998</v>
      </c>
      <c r="H5" s="49" t="s">
        <v>62</v>
      </c>
      <c r="I5" s="50">
        <f>1200*(LN(G5/B5)/LN(2))</f>
        <v>0</v>
      </c>
      <c r="J5" s="48" t="s">
        <v>55</v>
      </c>
      <c r="K5" s="49">
        <v>329.62755691286998</v>
      </c>
      <c r="L5" s="49">
        <v>329.62755691286998</v>
      </c>
      <c r="M5" s="49" t="s">
        <v>62</v>
      </c>
      <c r="N5" s="50">
        <f>1200*(LN(L5/K5)/LN(2))</f>
        <v>0</v>
      </c>
      <c r="P5" s="4">
        <v>1</v>
      </c>
      <c r="Q5" s="4">
        <v>1</v>
      </c>
      <c r="R5" s="4">
        <v>1</v>
      </c>
    </row>
    <row r="6" spans="2:18">
      <c r="B6" s="56">
        <v>293.6647679174078</v>
      </c>
      <c r="C6" s="48" t="s">
        <v>56</v>
      </c>
      <c r="D6" s="49">
        <f>D5*8/9</f>
        <v>293.00227281143998</v>
      </c>
      <c r="E6" s="112" t="s">
        <v>72</v>
      </c>
      <c r="F6" s="50">
        <f t="shared" ref="F6:F12" si="0">1200*(LN(D6/B6)/LN(2))</f>
        <v>-3.9100017307760222</v>
      </c>
      <c r="G6" s="48">
        <f>G5*5/6</f>
        <v>274.68963076072498</v>
      </c>
      <c r="H6" s="112" t="s">
        <v>66</v>
      </c>
      <c r="I6" s="50">
        <f t="shared" ref="I6:I13" si="1">1200*(LN(G6/B6)/LN(2))</f>
        <v>-115.64128700055372</v>
      </c>
      <c r="J6" s="48" t="s">
        <v>73</v>
      </c>
      <c r="K6" s="54">
        <v>277.18</v>
      </c>
      <c r="L6" s="49">
        <f>L5*4/5</f>
        <v>263.702045530296</v>
      </c>
      <c r="M6" s="112" t="s">
        <v>70</v>
      </c>
      <c r="N6" s="50">
        <f t="shared" ref="N6:N13" si="2">1200*(LN(L6/K6)/LN(2))</f>
        <v>-86.297281167214535</v>
      </c>
      <c r="P6" s="4">
        <f>P5*8/9</f>
        <v>0.88888888888888884</v>
      </c>
      <c r="Q6" s="4">
        <f>Q5*5/6</f>
        <v>0.83333333333333337</v>
      </c>
      <c r="R6" s="4">
        <f>R5*4/5</f>
        <v>0.8</v>
      </c>
    </row>
    <row r="7" spans="2:18">
      <c r="B7" s="56">
        <v>261.62556530059879</v>
      </c>
      <c r="C7" s="48" t="s">
        <v>57</v>
      </c>
      <c r="D7" s="49">
        <f>D6*9/10</f>
        <v>263.702045530296</v>
      </c>
      <c r="E7" s="112" t="s">
        <v>64</v>
      </c>
      <c r="F7" s="50">
        <f t="shared" si="0"/>
        <v>13.686286135164456</v>
      </c>
      <c r="G7" s="48">
        <f>G6*24/25</f>
        <v>263.702045530296</v>
      </c>
      <c r="H7" s="112" t="s">
        <v>67</v>
      </c>
      <c r="I7" s="50">
        <f t="shared" si="1"/>
        <v>13.686286135164456</v>
      </c>
      <c r="J7" s="48" t="s">
        <v>57</v>
      </c>
      <c r="K7" s="49">
        <v>261.62556530059879</v>
      </c>
      <c r="L7" s="49">
        <f>L6*30/31</f>
        <v>255.19552793254454</v>
      </c>
      <c r="M7" s="112" t="s">
        <v>69</v>
      </c>
      <c r="N7" s="50">
        <f t="shared" si="2"/>
        <v>-43.080571598863351</v>
      </c>
      <c r="P7" s="4">
        <f>P6*9/10</f>
        <v>0.8</v>
      </c>
      <c r="Q7" s="4">
        <f>Q6*24/25</f>
        <v>0.8</v>
      </c>
      <c r="R7" s="4">
        <f>R6*30/31</f>
        <v>0.77419354838709675</v>
      </c>
    </row>
    <row r="8" spans="2:18">
      <c r="B8" s="56">
        <v>246.94165062806221</v>
      </c>
      <c r="C8" s="48" t="s">
        <v>58</v>
      </c>
      <c r="D8" s="49">
        <f>D7*15/16</f>
        <v>247.22066768465251</v>
      </c>
      <c r="E8" s="112" t="s">
        <v>63</v>
      </c>
      <c r="F8" s="50">
        <f t="shared" si="0"/>
        <v>1.9550008653868458</v>
      </c>
      <c r="G8" s="48">
        <f>G7*15/16</f>
        <v>247.22066768465251</v>
      </c>
      <c r="H8" s="112" t="s">
        <v>63</v>
      </c>
      <c r="I8" s="50">
        <f t="shared" si="1"/>
        <v>1.9550008653868458</v>
      </c>
      <c r="J8" s="48" t="s">
        <v>58</v>
      </c>
      <c r="K8" s="49">
        <v>246.94165062806221</v>
      </c>
      <c r="L8" s="49">
        <f>L7*31/32</f>
        <v>247.22066768465251</v>
      </c>
      <c r="M8" s="112" t="s">
        <v>68</v>
      </c>
      <c r="N8" s="50">
        <f t="shared" si="2"/>
        <v>1.9550008653868458</v>
      </c>
      <c r="P8" s="4">
        <f>P7*15/16</f>
        <v>0.75</v>
      </c>
      <c r="Q8" s="4">
        <f>Q7*15/16</f>
        <v>0.75</v>
      </c>
      <c r="R8" s="4">
        <f>R7*31/32</f>
        <v>0.75</v>
      </c>
    </row>
    <row r="9" spans="2:18">
      <c r="B9" s="57"/>
      <c r="C9" s="48"/>
      <c r="D9" s="49"/>
      <c r="E9" s="49"/>
      <c r="F9" s="50"/>
      <c r="G9" s="48"/>
      <c r="H9" s="49"/>
      <c r="I9" s="50"/>
      <c r="J9" s="48"/>
      <c r="K9" s="55"/>
      <c r="L9" s="49"/>
      <c r="M9" s="49"/>
      <c r="N9" s="50"/>
      <c r="P9" s="4"/>
      <c r="Q9" s="4"/>
      <c r="R9" s="4"/>
    </row>
    <row r="10" spans="2:18">
      <c r="B10" s="56">
        <v>220.00000000000011</v>
      </c>
      <c r="C10" s="48" t="s">
        <v>59</v>
      </c>
      <c r="D10" s="49">
        <f>D5*2/3</f>
        <v>219.75170460857998</v>
      </c>
      <c r="E10" s="49" t="s">
        <v>65</v>
      </c>
      <c r="F10" s="50">
        <f t="shared" si="0"/>
        <v>-1.9550008653879698</v>
      </c>
      <c r="G10" s="48">
        <f xml:space="preserve"> G5*2/3</f>
        <v>219.75170460857998</v>
      </c>
      <c r="H10" s="49" t="s">
        <v>65</v>
      </c>
      <c r="I10" s="50">
        <f t="shared" si="1"/>
        <v>-1.9550008653879698</v>
      </c>
      <c r="J10" s="48" t="s">
        <v>59</v>
      </c>
      <c r="K10" s="49">
        <v>220.00000000000011</v>
      </c>
      <c r="L10" s="49">
        <f>L5*2/3</f>
        <v>219.75170460857998</v>
      </c>
      <c r="M10" s="49" t="s">
        <v>65</v>
      </c>
      <c r="N10" s="50">
        <f t="shared" si="2"/>
        <v>-1.9550008653879698</v>
      </c>
      <c r="P10" s="4">
        <f>P8*8/9</f>
        <v>0.66666666666666663</v>
      </c>
      <c r="Q10" s="4">
        <f>Q8*8/9</f>
        <v>0.66666666666666663</v>
      </c>
      <c r="R10" s="4">
        <f>R8*8/9</f>
        <v>0.66666666666666663</v>
      </c>
    </row>
    <row r="11" spans="2:18">
      <c r="B11" s="56">
        <v>195.99771799087475</v>
      </c>
      <c r="C11" s="48" t="s">
        <v>60</v>
      </c>
      <c r="D11" s="49">
        <f>D10*8/9</f>
        <v>195.33484854096</v>
      </c>
      <c r="E11" s="49" t="s">
        <v>65</v>
      </c>
      <c r="F11" s="50">
        <f t="shared" si="0"/>
        <v>-5.865002596162852</v>
      </c>
      <c r="G11" s="48">
        <f>G10*5/6</f>
        <v>183.12642050714999</v>
      </c>
      <c r="H11" s="49" t="s">
        <v>66</v>
      </c>
      <c r="I11" s="50">
        <f t="shared" si="1"/>
        <v>-117.59628786594071</v>
      </c>
      <c r="J11" s="48" t="s">
        <v>74</v>
      </c>
      <c r="K11" s="49">
        <v>185</v>
      </c>
      <c r="L11" s="49">
        <f>L10*4/5</f>
        <v>175.80136368686399</v>
      </c>
      <c r="M11" s="49" t="s">
        <v>70</v>
      </c>
      <c r="N11" s="50">
        <f t="shared" si="2"/>
        <v>-88.294811120204884</v>
      </c>
      <c r="P11" s="4">
        <f>P10*8/9</f>
        <v>0.59259259259259256</v>
      </c>
      <c r="Q11" s="4">
        <f>Q10*5/6</f>
        <v>0.55555555555555547</v>
      </c>
      <c r="R11" s="4">
        <f>R10*4/5</f>
        <v>0.53333333333333333</v>
      </c>
    </row>
    <row r="12" spans="2:18">
      <c r="B12" s="56">
        <v>174.61411571650203</v>
      </c>
      <c r="C12" s="48" t="s">
        <v>61</v>
      </c>
      <c r="D12" s="49">
        <f>D11*9/10</f>
        <v>175.80136368686399</v>
      </c>
      <c r="E12" s="49" t="s">
        <v>64</v>
      </c>
      <c r="F12" s="50">
        <f t="shared" si="0"/>
        <v>11.731285269777365</v>
      </c>
      <c r="G12" s="48">
        <f>G11*24/25</f>
        <v>175.80136368686399</v>
      </c>
      <c r="H12" s="49" t="s">
        <v>67</v>
      </c>
      <c r="I12" s="50">
        <f t="shared" si="1"/>
        <v>11.731285269777365</v>
      </c>
      <c r="J12" s="48" t="s">
        <v>61</v>
      </c>
      <c r="K12" s="49">
        <v>174.61411571650203</v>
      </c>
      <c r="L12" s="49">
        <f>L11*30/31</f>
        <v>170.13035195502965</v>
      </c>
      <c r="M12" s="49" t="s">
        <v>69</v>
      </c>
      <c r="N12" s="50">
        <f t="shared" si="2"/>
        <v>-45.035572464250954</v>
      </c>
      <c r="P12" s="4">
        <f>P11*9/10</f>
        <v>0.53333333333333333</v>
      </c>
      <c r="Q12" s="4">
        <f>Q11*24/25</f>
        <v>0.53333333333333333</v>
      </c>
      <c r="R12" s="4">
        <f>R11*30/31</f>
        <v>0.5161290322580645</v>
      </c>
    </row>
    <row r="13" spans="2:18">
      <c r="B13" s="58">
        <v>164.81377845643505</v>
      </c>
      <c r="C13" s="51" t="s">
        <v>55</v>
      </c>
      <c r="D13" s="52">
        <f>D12*15/16</f>
        <v>164.81377845643499</v>
      </c>
      <c r="E13" s="52" t="s">
        <v>63</v>
      </c>
      <c r="F13" s="53">
        <v>0</v>
      </c>
      <c r="G13" s="51">
        <f>G12*15/16</f>
        <v>164.81377845643499</v>
      </c>
      <c r="H13" s="52" t="s">
        <v>63</v>
      </c>
      <c r="I13" s="53">
        <f t="shared" si="1"/>
        <v>-5.7661677068668525E-13</v>
      </c>
      <c r="J13" s="51" t="s">
        <v>55</v>
      </c>
      <c r="K13" s="52">
        <v>164.81377845643505</v>
      </c>
      <c r="L13" s="52">
        <f>L12*31/32</f>
        <v>164.81377845643499</v>
      </c>
      <c r="M13" s="52" t="s">
        <v>68</v>
      </c>
      <c r="N13" s="53">
        <f t="shared" si="2"/>
        <v>-5.7661677068668525E-13</v>
      </c>
      <c r="P13" s="4">
        <f>P12*15/16</f>
        <v>0.5</v>
      </c>
      <c r="Q13" s="4">
        <f>Q12*15/16</f>
        <v>0.5</v>
      </c>
      <c r="R13" s="4">
        <f>R12*31/32</f>
        <v>0.5</v>
      </c>
    </row>
    <row r="14" spans="2:18">
      <c r="B14" s="49"/>
      <c r="C14" s="49"/>
      <c r="D14" s="49"/>
      <c r="E14" s="49"/>
      <c r="F14" s="49"/>
      <c r="G14" s="49"/>
      <c r="H14" s="49"/>
      <c r="I14" s="49"/>
      <c r="J14" s="49"/>
      <c r="K14" s="49"/>
      <c r="L14" s="49"/>
      <c r="M14" s="49"/>
      <c r="N14" s="49"/>
    </row>
    <row r="15" spans="2:18">
      <c r="B15" t="s">
        <v>96</v>
      </c>
      <c r="C15" s="5"/>
      <c r="D15" s="5"/>
      <c r="N15"/>
    </row>
    <row r="16" spans="2:18">
      <c r="B16" s="47"/>
      <c r="C16" s="46"/>
      <c r="D16" s="5"/>
      <c r="N16"/>
    </row>
  </sheetData>
  <pageMargins left="0.7" right="0.7" top="0.78740157499999996" bottom="0.78740157499999996"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dimension ref="B1:U34"/>
  <sheetViews>
    <sheetView tabSelected="1" workbookViewId="0">
      <selection activeCell="M6" sqref="M6:N13"/>
    </sheetView>
  </sheetViews>
  <sheetFormatPr baseColWidth="10" defaultRowHeight="15"/>
  <cols>
    <col min="2" max="2" width="13.42578125" bestFit="1" customWidth="1"/>
    <col min="3" max="3" width="2.85546875" customWidth="1"/>
    <col min="4" max="4" width="8.7109375" customWidth="1"/>
    <col min="5" max="5" width="6.140625" customWidth="1"/>
    <col min="6" max="6" width="6.85546875" customWidth="1"/>
    <col min="7" max="7" width="7.28515625" customWidth="1"/>
    <col min="8" max="8" width="3.140625" customWidth="1"/>
    <col min="9" max="9" width="11" customWidth="1"/>
    <col min="10" max="10" width="6.140625" customWidth="1"/>
    <col min="11" max="11" width="6.85546875" customWidth="1"/>
    <col min="12" max="12" width="10.85546875" customWidth="1"/>
    <col min="13" max="13" width="3.85546875" customWidth="1"/>
    <col min="14" max="14" width="9" customWidth="1"/>
    <col min="15" max="15" width="6.140625" customWidth="1"/>
    <col min="16" max="16" width="6.85546875" customWidth="1"/>
    <col min="18" max="18" width="67.7109375" customWidth="1"/>
  </cols>
  <sheetData>
    <row r="1" spans="2:21" ht="15.75">
      <c r="B1" s="101" t="s">
        <v>91</v>
      </c>
    </row>
    <row r="3" spans="2:21" ht="15.75" thickBot="1">
      <c r="B3" s="37"/>
      <c r="C3" s="37"/>
      <c r="D3" s="37"/>
      <c r="E3" s="37"/>
      <c r="F3" s="37"/>
      <c r="G3" s="37"/>
      <c r="H3" s="37"/>
      <c r="I3" s="37"/>
      <c r="J3" s="37"/>
      <c r="K3" s="37"/>
      <c r="L3" s="37"/>
      <c r="M3" s="37"/>
      <c r="N3" s="37"/>
      <c r="O3" s="37"/>
      <c r="P3" s="37"/>
    </row>
    <row r="4" spans="2:21" ht="16.5" thickBot="1">
      <c r="B4" s="59" t="s">
        <v>76</v>
      </c>
      <c r="C4" s="60"/>
      <c r="D4" s="61"/>
      <c r="E4" s="60"/>
      <c r="F4" s="60"/>
      <c r="G4" s="62" t="s">
        <v>77</v>
      </c>
      <c r="H4" s="63"/>
      <c r="I4" s="64"/>
      <c r="J4" s="63"/>
      <c r="K4" s="63"/>
      <c r="L4" s="62" t="s">
        <v>78</v>
      </c>
      <c r="M4" s="63"/>
      <c r="N4" s="64"/>
      <c r="O4" s="65"/>
      <c r="P4" s="66"/>
      <c r="S4" t="s">
        <v>120</v>
      </c>
    </row>
    <row r="5" spans="2:21" ht="16.5" thickBot="1">
      <c r="B5" s="67" t="s">
        <v>79</v>
      </c>
      <c r="C5" s="68"/>
      <c r="D5" s="68" t="s">
        <v>80</v>
      </c>
      <c r="E5" s="67" t="s">
        <v>75</v>
      </c>
      <c r="F5" s="68" t="s">
        <v>19</v>
      </c>
      <c r="G5" s="102" t="s">
        <v>81</v>
      </c>
      <c r="H5" s="69"/>
      <c r="I5" s="69" t="s">
        <v>80</v>
      </c>
      <c r="J5" s="69" t="s">
        <v>75</v>
      </c>
      <c r="K5" s="70" t="s">
        <v>19</v>
      </c>
      <c r="L5" s="69" t="s">
        <v>82</v>
      </c>
      <c r="M5" s="152"/>
      <c r="N5" s="152" t="s">
        <v>80</v>
      </c>
      <c r="O5" s="69" t="s">
        <v>83</v>
      </c>
      <c r="P5" s="71" t="s">
        <v>19</v>
      </c>
      <c r="S5" s="4" t="s">
        <v>52</v>
      </c>
      <c r="T5" s="4" t="s">
        <v>53</v>
      </c>
      <c r="U5" s="4" t="s">
        <v>112</v>
      </c>
    </row>
    <row r="6" spans="2:21" ht="15.75">
      <c r="B6" s="72">
        <v>662.23971200000005</v>
      </c>
      <c r="C6" s="137" t="s">
        <v>55</v>
      </c>
      <c r="D6" s="138" t="s">
        <v>62</v>
      </c>
      <c r="E6" s="134">
        <v>659.3</v>
      </c>
      <c r="F6" s="74">
        <f>1200*(LN(B6/E6)/LN(2))</f>
        <v>7.7021338928206822</v>
      </c>
      <c r="G6" s="103">
        <v>662.23971200000005</v>
      </c>
      <c r="H6" s="76" t="s">
        <v>55</v>
      </c>
      <c r="I6" s="75" t="s">
        <v>62</v>
      </c>
      <c r="J6" s="73">
        <v>659.3</v>
      </c>
      <c r="K6" s="74">
        <f>1200*(LN(G6/J6)/LN(2))</f>
        <v>7.7021338928206822</v>
      </c>
      <c r="L6" s="77">
        <v>662.23971200000005</v>
      </c>
      <c r="M6" s="154" t="s">
        <v>55</v>
      </c>
      <c r="N6" s="153" t="s">
        <v>62</v>
      </c>
      <c r="O6" s="78">
        <v>659.3</v>
      </c>
      <c r="P6" s="79">
        <f>1200*(LN(L6/O6)/LN(2))</f>
        <v>7.7021338928206822</v>
      </c>
      <c r="S6" s="4">
        <v>1</v>
      </c>
      <c r="T6" s="4">
        <v>1</v>
      </c>
      <c r="U6" s="4">
        <v>1</v>
      </c>
    </row>
    <row r="7" spans="2:21" ht="15.75">
      <c r="B7" s="80">
        <f>B6*4/5</f>
        <v>529.79176960000007</v>
      </c>
      <c r="C7" s="139" t="s">
        <v>57</v>
      </c>
      <c r="D7" s="140" t="s">
        <v>70</v>
      </c>
      <c r="E7" s="135">
        <v>523.29999999999995</v>
      </c>
      <c r="F7" s="84">
        <f t="shared" ref="F7:F13" si="0">1200*(LN(B7/E7)/LN(2))</f>
        <v>21.344606916543295</v>
      </c>
      <c r="G7" s="104">
        <f>G6*27/32</f>
        <v>558.76475700000003</v>
      </c>
      <c r="H7" s="86" t="s">
        <v>73</v>
      </c>
      <c r="I7" s="106" t="s">
        <v>84</v>
      </c>
      <c r="J7" s="83">
        <v>554.4</v>
      </c>
      <c r="K7" s="84">
        <f t="shared" ref="K7:K13" si="1">1200*(LN(G7/J7)/LN(2))</f>
        <v>13.576525150542109</v>
      </c>
      <c r="L7" s="87">
        <f>L6*8/9</f>
        <v>588.65752177777779</v>
      </c>
      <c r="M7" s="155" t="s">
        <v>56</v>
      </c>
      <c r="N7" s="150" t="s">
        <v>65</v>
      </c>
      <c r="O7" s="88">
        <v>587.29999999999995</v>
      </c>
      <c r="P7" s="89">
        <f t="shared" ref="P7:P13" si="2">1200*(LN(L7/O7)/LN(2))</f>
        <v>3.9970643913486059</v>
      </c>
      <c r="S7" s="4">
        <f>S6*8/9</f>
        <v>0.88888888888888884</v>
      </c>
      <c r="T7" s="4">
        <f>T6*27/32</f>
        <v>0.84375</v>
      </c>
      <c r="U7" s="4">
        <f>U6*4/5</f>
        <v>0.8</v>
      </c>
    </row>
    <row r="8" spans="2:21" ht="15.75">
      <c r="B8" s="80">
        <f>B7*35/36</f>
        <v>515.07533155555564</v>
      </c>
      <c r="C8" s="139" t="s">
        <v>85</v>
      </c>
      <c r="D8" s="140" t="s">
        <v>86</v>
      </c>
      <c r="E8" s="135">
        <v>523.29999999999995</v>
      </c>
      <c r="F8" s="84">
        <f t="shared" si="0"/>
        <v>-27.425774480271489</v>
      </c>
      <c r="G8" s="104">
        <f>G7*224/243</f>
        <v>515.07533155555564</v>
      </c>
      <c r="H8" s="86" t="s">
        <v>57</v>
      </c>
      <c r="I8" s="106" t="s">
        <v>87</v>
      </c>
      <c r="J8" s="83">
        <v>523.29999999999995</v>
      </c>
      <c r="K8" s="84">
        <f t="shared" si="1"/>
        <v>-27.425774480271489</v>
      </c>
      <c r="L8" s="87">
        <f>L7*7/8</f>
        <v>515.07533155555552</v>
      </c>
      <c r="M8" s="155" t="s">
        <v>57</v>
      </c>
      <c r="N8" s="150" t="s">
        <v>88</v>
      </c>
      <c r="O8" s="88">
        <v>523.29999999999995</v>
      </c>
      <c r="P8" s="89">
        <f t="shared" si="2"/>
        <v>-27.42577448027188</v>
      </c>
      <c r="S8" s="4">
        <f>S7*7/8</f>
        <v>0.77777777777777768</v>
      </c>
      <c r="T8" s="4">
        <f>T7*224/243</f>
        <v>0.77777777777777779</v>
      </c>
      <c r="U8" s="4">
        <f>U7*35/36</f>
        <v>0.77777777777777779</v>
      </c>
    </row>
    <row r="9" spans="2:21" ht="16.5" thickBot="1">
      <c r="B9" s="90">
        <f>B8*27/28</f>
        <v>496.67978400000004</v>
      </c>
      <c r="C9" s="141" t="s">
        <v>58</v>
      </c>
      <c r="D9" s="142" t="s">
        <v>89</v>
      </c>
      <c r="E9" s="136">
        <v>493.9</v>
      </c>
      <c r="F9" s="94">
        <f t="shared" si="0"/>
        <v>9.716469930290506</v>
      </c>
      <c r="G9" s="105">
        <f>G8*27/28</f>
        <v>496.67978400000004</v>
      </c>
      <c r="H9" s="96" t="s">
        <v>58</v>
      </c>
      <c r="I9" s="107" t="s">
        <v>89</v>
      </c>
      <c r="J9" s="93">
        <v>493.9</v>
      </c>
      <c r="K9" s="94">
        <f t="shared" si="1"/>
        <v>9.716469930290506</v>
      </c>
      <c r="L9" s="97">
        <f>L8*27/28</f>
        <v>496.67978399999998</v>
      </c>
      <c r="M9" s="156" t="s">
        <v>58</v>
      </c>
      <c r="N9" s="151" t="s">
        <v>89</v>
      </c>
      <c r="O9" s="98">
        <v>493.9</v>
      </c>
      <c r="P9" s="99">
        <f t="shared" si="2"/>
        <v>9.716469930290506</v>
      </c>
      <c r="S9" s="4">
        <f>S8*27/28</f>
        <v>0.74999999999999989</v>
      </c>
      <c r="T9" s="4">
        <f>T8*27/28</f>
        <v>0.75</v>
      </c>
      <c r="U9" s="4">
        <f>U8*27/28</f>
        <v>0.75</v>
      </c>
    </row>
    <row r="10" spans="2:21" ht="15.75">
      <c r="B10" s="72">
        <f>B6*2/3</f>
        <v>441.49314133333337</v>
      </c>
      <c r="C10" s="81" t="s">
        <v>59</v>
      </c>
      <c r="D10" s="82" t="s">
        <v>62</v>
      </c>
      <c r="E10" s="73">
        <v>440</v>
      </c>
      <c r="F10" s="74">
        <f t="shared" si="0"/>
        <v>5.8650021592225707</v>
      </c>
      <c r="G10" s="103">
        <f>G6*2/3</f>
        <v>441.49314133333337</v>
      </c>
      <c r="H10" s="76" t="s">
        <v>59</v>
      </c>
      <c r="I10" s="75" t="s">
        <v>62</v>
      </c>
      <c r="J10" s="73">
        <v>440</v>
      </c>
      <c r="K10" s="74">
        <f t="shared" si="1"/>
        <v>5.8650021592225707</v>
      </c>
      <c r="L10" s="77">
        <f>L6*2/3</f>
        <v>441.49314133333337</v>
      </c>
      <c r="M10" s="154" t="s">
        <v>59</v>
      </c>
      <c r="N10" s="153" t="s">
        <v>62</v>
      </c>
      <c r="O10" s="78">
        <v>440</v>
      </c>
      <c r="P10" s="79">
        <f t="shared" si="2"/>
        <v>5.8650021592225707</v>
      </c>
      <c r="S10" s="4">
        <f>S9*8/9</f>
        <v>0.66666666666666652</v>
      </c>
      <c r="T10" s="4">
        <f>T9*8/9</f>
        <v>0.66666666666666663</v>
      </c>
      <c r="U10" s="4">
        <f>U9*8/9</f>
        <v>0.66666666666666663</v>
      </c>
    </row>
    <row r="11" spans="2:21" ht="15.75">
      <c r="B11" s="80">
        <f>B10*4/5</f>
        <v>353.19451306666667</v>
      </c>
      <c r="C11" s="81" t="s">
        <v>90</v>
      </c>
      <c r="D11" s="82" t="s">
        <v>70</v>
      </c>
      <c r="E11" s="83">
        <v>349.2</v>
      </c>
      <c r="F11" s="84">
        <f t="shared" si="0"/>
        <v>19.69124603348574</v>
      </c>
      <c r="G11" s="104">
        <f>G10*27/32</f>
        <v>372.50983800000006</v>
      </c>
      <c r="H11" s="86" t="s">
        <v>74</v>
      </c>
      <c r="I11" s="85" t="s">
        <v>84</v>
      </c>
      <c r="J11" s="83">
        <v>370</v>
      </c>
      <c r="K11" s="84">
        <f t="shared" si="1"/>
        <v>11.703908365401812</v>
      </c>
      <c r="L11" s="87">
        <f>L10*8/9</f>
        <v>392.43834785185186</v>
      </c>
      <c r="M11" s="155" t="s">
        <v>60</v>
      </c>
      <c r="N11" s="150" t="s">
        <v>65</v>
      </c>
      <c r="O11" s="88">
        <v>392</v>
      </c>
      <c r="P11" s="89">
        <f t="shared" si="2"/>
        <v>1.9348437197891539</v>
      </c>
      <c r="S11" s="4">
        <f>S10*8/9</f>
        <v>0.59259259259259245</v>
      </c>
      <c r="T11" s="4">
        <f>T10*27/32</f>
        <v>0.5625</v>
      </c>
      <c r="U11" s="4">
        <f>U10*4/5</f>
        <v>0.53333333333333333</v>
      </c>
    </row>
    <row r="12" spans="2:21" ht="15.75">
      <c r="B12" s="80">
        <f>B11*35/36</f>
        <v>343.3835543703704</v>
      </c>
      <c r="C12" s="81" t="s">
        <v>61</v>
      </c>
      <c r="D12" s="82" t="s">
        <v>86</v>
      </c>
      <c r="E12" s="83">
        <v>349.2</v>
      </c>
      <c r="F12" s="84">
        <f t="shared" si="0"/>
        <v>-29.079135363329133</v>
      </c>
      <c r="G12" s="104">
        <f>G11*224/243</f>
        <v>343.38355437037046</v>
      </c>
      <c r="H12" s="86" t="s">
        <v>61</v>
      </c>
      <c r="I12" s="85" t="s">
        <v>87</v>
      </c>
      <c r="J12" s="83">
        <v>349.2</v>
      </c>
      <c r="K12" s="84">
        <f t="shared" si="1"/>
        <v>-29.079135363328742</v>
      </c>
      <c r="L12" s="87">
        <f>L11*7/8</f>
        <v>343.38355437037035</v>
      </c>
      <c r="M12" s="155" t="s">
        <v>61</v>
      </c>
      <c r="N12" s="150" t="s">
        <v>88</v>
      </c>
      <c r="O12" s="88">
        <v>349.2</v>
      </c>
      <c r="P12" s="89">
        <f t="shared" si="2"/>
        <v>-29.079135363329328</v>
      </c>
      <c r="S12" s="4">
        <f>S11*7/8</f>
        <v>0.51851851851851838</v>
      </c>
      <c r="T12" s="4">
        <f>T11*224/243</f>
        <v>0.51851851851851849</v>
      </c>
      <c r="U12" s="4">
        <f>U11*35/36</f>
        <v>0.5185185185185186</v>
      </c>
    </row>
    <row r="13" spans="2:21" ht="16.5" thickBot="1">
      <c r="B13" s="90">
        <f>B12*27/28</f>
        <v>331.11985600000008</v>
      </c>
      <c r="C13" s="91" t="s">
        <v>55</v>
      </c>
      <c r="D13" s="92" t="s">
        <v>89</v>
      </c>
      <c r="E13" s="93">
        <v>329.6</v>
      </c>
      <c r="F13" s="94">
        <f t="shared" si="0"/>
        <v>7.9647404991742832</v>
      </c>
      <c r="G13" s="105">
        <f>G12*27/28</f>
        <v>331.11985600000008</v>
      </c>
      <c r="H13" s="96" t="s">
        <v>55</v>
      </c>
      <c r="I13" s="95" t="s">
        <v>89</v>
      </c>
      <c r="J13" s="93">
        <v>329.6</v>
      </c>
      <c r="K13" s="94">
        <f t="shared" si="1"/>
        <v>7.9647404991742832</v>
      </c>
      <c r="L13" s="97">
        <f>L12*27/28</f>
        <v>331.11985599999997</v>
      </c>
      <c r="M13" s="156" t="s">
        <v>55</v>
      </c>
      <c r="N13" s="151" t="s">
        <v>89</v>
      </c>
      <c r="O13" s="98">
        <v>329.6</v>
      </c>
      <c r="P13" s="99">
        <f t="shared" si="2"/>
        <v>7.9647404991739021</v>
      </c>
      <c r="S13" s="4">
        <f>S12*27/28</f>
        <v>0.49999999999999989</v>
      </c>
      <c r="T13" s="4">
        <f>T12*27/28</f>
        <v>0.5</v>
      </c>
      <c r="U13" s="4">
        <f>U12*27/28</f>
        <v>0.50000000000000011</v>
      </c>
    </row>
    <row r="14" spans="2:21" ht="15.75">
      <c r="P14" s="65"/>
    </row>
    <row r="15" spans="2:21" ht="15.75">
      <c r="B15" t="s">
        <v>94</v>
      </c>
      <c r="P15" s="65"/>
    </row>
    <row r="16" spans="2:21" ht="15.75">
      <c r="B16" t="s">
        <v>100</v>
      </c>
      <c r="P16" s="65"/>
    </row>
    <row r="17" spans="14:18" ht="15.75">
      <c r="P17" s="65"/>
    </row>
    <row r="18" spans="14:18" ht="240">
      <c r="P18" s="65"/>
      <c r="R18" s="100" t="s">
        <v>93</v>
      </c>
    </row>
    <row r="19" spans="14:18" ht="15.75">
      <c r="P19" s="65"/>
    </row>
    <row r="20" spans="14:18" ht="15.75">
      <c r="P20" s="65"/>
    </row>
    <row r="21" spans="14:18" ht="15.75">
      <c r="P21" s="65"/>
    </row>
    <row r="26" spans="14:18">
      <c r="N26">
        <f>8*7*27/(9*8*28)</f>
        <v>0.75</v>
      </c>
    </row>
    <row r="31" spans="14:18" ht="277.5" customHeight="1"/>
    <row r="34" spans="2:2">
      <c r="B34" t="s">
        <v>92</v>
      </c>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K12"/>
  <sheetViews>
    <sheetView workbookViewId="0">
      <selection activeCell="A6" sqref="A6"/>
    </sheetView>
  </sheetViews>
  <sheetFormatPr baseColWidth="10" defaultRowHeight="15"/>
  <cols>
    <col min="2" max="2" width="5" customWidth="1"/>
    <col min="6" max="6" width="5" customWidth="1"/>
    <col min="10" max="10" width="4.85546875" style="143" customWidth="1"/>
    <col min="11" max="11" width="7" customWidth="1"/>
  </cols>
  <sheetData>
    <row r="1" spans="1:11">
      <c r="A1" t="s">
        <v>119</v>
      </c>
    </row>
    <row r="2" spans="1:11">
      <c r="A2" t="s">
        <v>113</v>
      </c>
      <c r="C2" t="s">
        <v>114</v>
      </c>
      <c r="G2" t="s">
        <v>80</v>
      </c>
    </row>
    <row r="3" spans="1:11">
      <c r="A3" s="4" t="s">
        <v>52</v>
      </c>
      <c r="C3" s="4" t="s">
        <v>52</v>
      </c>
      <c r="D3" s="4" t="s">
        <v>53</v>
      </c>
      <c r="E3" s="4" t="s">
        <v>112</v>
      </c>
      <c r="G3" s="4" t="s">
        <v>52</v>
      </c>
      <c r="H3" s="4" t="s">
        <v>53</v>
      </c>
      <c r="I3" s="4" t="s">
        <v>112</v>
      </c>
    </row>
    <row r="4" spans="1:11">
      <c r="A4" s="14">
        <v>1</v>
      </c>
      <c r="B4" s="13"/>
      <c r="C4" s="14">
        <v>1</v>
      </c>
      <c r="D4" s="14">
        <v>1</v>
      </c>
      <c r="E4" s="14">
        <v>1</v>
      </c>
      <c r="F4" s="13"/>
      <c r="G4" s="14">
        <v>1</v>
      </c>
      <c r="H4" s="14">
        <v>1</v>
      </c>
      <c r="I4" s="14">
        <v>1</v>
      </c>
      <c r="J4" s="144" t="s">
        <v>55</v>
      </c>
      <c r="K4" s="13" t="s">
        <v>115</v>
      </c>
    </row>
    <row r="5" spans="1:11">
      <c r="A5" s="4">
        <v>0.88888888888888884</v>
      </c>
      <c r="C5" s="4">
        <v>0.88888888888888884</v>
      </c>
      <c r="D5" s="4">
        <v>0.83333333333333337</v>
      </c>
      <c r="E5" s="4">
        <v>0.8</v>
      </c>
      <c r="G5" s="4">
        <v>0.88888888888888884</v>
      </c>
      <c r="H5" s="4">
        <v>0.84375</v>
      </c>
      <c r="I5" s="4">
        <v>0.8</v>
      </c>
      <c r="J5" s="143" t="s">
        <v>56</v>
      </c>
    </row>
    <row r="6" spans="1:11">
      <c r="A6" s="4">
        <v>0.79012345679012341</v>
      </c>
      <c r="C6" s="4">
        <v>0.8</v>
      </c>
      <c r="D6" s="4">
        <v>0.8</v>
      </c>
      <c r="E6" s="4">
        <v>0.77419354838709675</v>
      </c>
      <c r="G6" s="4">
        <v>0.77777777777777768</v>
      </c>
      <c r="H6" s="4">
        <v>0.77777777777777779</v>
      </c>
      <c r="I6" s="4">
        <v>0.77777777777777779</v>
      </c>
      <c r="J6" s="143" t="s">
        <v>57</v>
      </c>
    </row>
    <row r="7" spans="1:11">
      <c r="A7" s="14">
        <v>0.75</v>
      </c>
      <c r="B7" s="13"/>
      <c r="C7" s="14">
        <v>0.75</v>
      </c>
      <c r="D7" s="14">
        <v>0.75</v>
      </c>
      <c r="E7" s="14">
        <v>0.75</v>
      </c>
      <c r="F7" s="13"/>
      <c r="G7" s="14">
        <v>0.74999999999999989</v>
      </c>
      <c r="H7" s="14">
        <v>0.75</v>
      </c>
      <c r="I7" s="14">
        <v>0.75</v>
      </c>
      <c r="J7" s="144" t="s">
        <v>58</v>
      </c>
      <c r="K7" s="13" t="s">
        <v>116</v>
      </c>
    </row>
    <row r="8" spans="1:11" s="16" customFormat="1">
      <c r="J8" s="145"/>
    </row>
    <row r="9" spans="1:11">
      <c r="A9" s="14">
        <v>0.66666666666666663</v>
      </c>
      <c r="B9" s="13"/>
      <c r="C9" s="14">
        <v>0.66666666666666663</v>
      </c>
      <c r="D9" s="14">
        <v>0.66666666666666663</v>
      </c>
      <c r="E9" s="14">
        <v>0.66666666666666663</v>
      </c>
      <c r="F9" s="13"/>
      <c r="G9" s="14">
        <v>0.66666666666666652</v>
      </c>
      <c r="H9" s="14">
        <v>0.66666666666666663</v>
      </c>
      <c r="I9" s="14">
        <v>0.66666666666666663</v>
      </c>
      <c r="J9" s="146" t="s">
        <v>59</v>
      </c>
      <c r="K9" s="13" t="s">
        <v>117</v>
      </c>
    </row>
    <row r="10" spans="1:11">
      <c r="A10" s="4">
        <v>0.59259259259259256</v>
      </c>
      <c r="C10" s="4">
        <v>0.59259259259259256</v>
      </c>
      <c r="D10" s="4">
        <v>0.55555555555555547</v>
      </c>
      <c r="E10" s="4">
        <v>0.53333333333333333</v>
      </c>
      <c r="G10" s="4">
        <v>0.59259259259259245</v>
      </c>
      <c r="H10" s="4">
        <v>0.5625</v>
      </c>
      <c r="I10" s="4">
        <v>0.53333333333333333</v>
      </c>
      <c r="J10" s="147" t="s">
        <v>60</v>
      </c>
    </row>
    <row r="11" spans="1:11">
      <c r="A11" s="4">
        <v>0.52674897119341557</v>
      </c>
      <c r="C11" s="4">
        <v>0.53333333333333333</v>
      </c>
      <c r="D11" s="4">
        <v>0.53333333333333333</v>
      </c>
      <c r="E11" s="4">
        <v>0.5161290322580645</v>
      </c>
      <c r="G11" s="4">
        <v>0.51851851851851838</v>
      </c>
      <c r="H11" s="4">
        <v>0.51851851851851849</v>
      </c>
      <c r="I11" s="4">
        <v>0.5185185185185186</v>
      </c>
      <c r="J11" s="147" t="s">
        <v>61</v>
      </c>
    </row>
    <row r="12" spans="1:11">
      <c r="A12" s="14">
        <v>0.49999999999999994</v>
      </c>
      <c r="B12" s="13"/>
      <c r="C12" s="14">
        <v>0.5</v>
      </c>
      <c r="D12" s="14">
        <v>0.5</v>
      </c>
      <c r="E12" s="14">
        <v>0.5</v>
      </c>
      <c r="F12" s="13"/>
      <c r="G12" s="14">
        <v>0.49999999999999989</v>
      </c>
      <c r="H12" s="14">
        <v>0.5</v>
      </c>
      <c r="I12" s="14">
        <v>0.50000000000000011</v>
      </c>
      <c r="J12" s="146" t="s">
        <v>55</v>
      </c>
      <c r="K12" s="13" t="s">
        <v>118</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allgemein</vt:lpstr>
      <vt:lpstr>Pythagoras</vt:lpstr>
      <vt:lpstr>Ditymos</vt:lpstr>
      <vt:lpstr>Archytas</vt:lpstr>
      <vt:lpstr>alle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Wolfgang Martin Stroh</dc:creator>
  <cp:lastModifiedBy>wms</cp:lastModifiedBy>
  <dcterms:created xsi:type="dcterms:W3CDTF">2021-01-12T12:30:26Z</dcterms:created>
  <dcterms:modified xsi:type="dcterms:W3CDTF">2021-03-19T10:48:07Z</dcterms:modified>
</cp:coreProperties>
</file>