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00" windowHeight="11745" activeTab="2"/>
  </bookViews>
  <sheets>
    <sheet name="Grundrechnugen" sheetId="1" r:id="rId1"/>
    <sheet name="shruti" sheetId="3" r:id="rId2"/>
    <sheet name="Kalyana" sheetId="4" r:id="rId3"/>
    <sheet name="Sitarmessungen" sheetId="5" r:id="rId4"/>
    <sheet name="anoushka" sheetId="6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6"/>
  <c r="O13"/>
  <c r="O14"/>
  <c r="O15"/>
  <c r="O16"/>
  <c r="O17"/>
  <c r="O18"/>
  <c r="O19"/>
  <c r="O20"/>
  <c r="O21"/>
  <c r="O11"/>
  <c r="Y22" i="3"/>
  <c r="AB22" s="1"/>
  <c r="Y23"/>
  <c r="AB23" s="1"/>
  <c r="Y24"/>
  <c r="AB24" s="1"/>
  <c r="Y25"/>
  <c r="Y26"/>
  <c r="Y27"/>
  <c r="Y28"/>
  <c r="Y29"/>
  <c r="Y30"/>
  <c r="AB30" s="1"/>
  <c r="Y31"/>
  <c r="AB31" s="1"/>
  <c r="Y32"/>
  <c r="AB32" s="1"/>
  <c r="Y21"/>
  <c r="AB21" s="1"/>
  <c r="AB29"/>
  <c r="AB28"/>
  <c r="AB27"/>
  <c r="AB26"/>
  <c r="AB25"/>
  <c r="AB20"/>
  <c r="L5" i="6"/>
  <c r="L6"/>
  <c r="L7"/>
  <c r="L8"/>
  <c r="L9"/>
  <c r="L10"/>
  <c r="L11"/>
  <c r="L12"/>
  <c r="L13"/>
  <c r="L14"/>
  <c r="L15"/>
  <c r="L16"/>
  <c r="L17"/>
  <c r="L18"/>
  <c r="L19"/>
  <c r="L20"/>
  <c r="L21"/>
  <c r="L4"/>
  <c r="K5"/>
  <c r="K6"/>
  <c r="K7"/>
  <c r="K8"/>
  <c r="K9"/>
  <c r="K10"/>
  <c r="K11"/>
  <c r="K12"/>
  <c r="K13"/>
  <c r="K14"/>
  <c r="K15"/>
  <c r="K16"/>
  <c r="K17"/>
  <c r="K18"/>
  <c r="K19"/>
  <c r="K20"/>
  <c r="K21"/>
  <c r="K4"/>
  <c r="H6"/>
  <c r="H7"/>
  <c r="H8"/>
  <c r="H9"/>
  <c r="H10"/>
  <c r="H11"/>
  <c r="H12"/>
  <c r="H13"/>
  <c r="H14"/>
  <c r="H15"/>
  <c r="H16"/>
  <c r="H17"/>
  <c r="H18"/>
  <c r="H19"/>
  <c r="H20"/>
  <c r="H21"/>
  <c r="H5"/>
  <c r="J14" i="5"/>
  <c r="J15"/>
  <c r="J16"/>
  <c r="J17"/>
  <c r="J5"/>
  <c r="J6"/>
  <c r="J7"/>
  <c r="J8"/>
  <c r="J9"/>
  <c r="J10"/>
  <c r="J11"/>
  <c r="J12"/>
  <c r="J13"/>
  <c r="J4"/>
  <c r="G6"/>
  <c r="G7"/>
  <c r="G8"/>
  <c r="G9"/>
  <c r="G10"/>
  <c r="G11"/>
  <c r="G12"/>
  <c r="G13"/>
  <c r="G14"/>
  <c r="G15"/>
  <c r="G16"/>
  <c r="G17"/>
  <c r="G5"/>
  <c r="M12" i="6"/>
  <c r="M13"/>
  <c r="M14"/>
  <c r="M15"/>
  <c r="M16"/>
  <c r="M17"/>
  <c r="M18"/>
  <c r="M19"/>
  <c r="M20"/>
  <c r="M21"/>
  <c r="M11"/>
  <c r="D21"/>
  <c r="E21" s="1"/>
  <c r="F21" s="1"/>
  <c r="D20"/>
  <c r="E20" s="1"/>
  <c r="F20" s="1"/>
  <c r="D19"/>
  <c r="E19" s="1"/>
  <c r="F19" s="1"/>
  <c r="D18"/>
  <c r="E18" s="1"/>
  <c r="F18" s="1"/>
  <c r="E6"/>
  <c r="E7"/>
  <c r="F7" s="1"/>
  <c r="E8"/>
  <c r="E9"/>
  <c r="E10"/>
  <c r="E11"/>
  <c r="E12"/>
  <c r="F12" s="1"/>
  <c r="E13"/>
  <c r="E14"/>
  <c r="E15"/>
  <c r="E16"/>
  <c r="E17"/>
  <c r="E5"/>
  <c r="D6"/>
  <c r="D7"/>
  <c r="D8"/>
  <c r="D9"/>
  <c r="D10"/>
  <c r="D11"/>
  <c r="D12"/>
  <c r="D13"/>
  <c r="D14"/>
  <c r="D15"/>
  <c r="D16"/>
  <c r="D17"/>
  <c r="F17" s="1"/>
  <c r="D5"/>
  <c r="F10"/>
  <c r="F13"/>
  <c r="F4"/>
  <c r="G4" s="1"/>
  <c r="F16"/>
  <c r="F11"/>
  <c r="F9"/>
  <c r="F8"/>
  <c r="C5" i="5"/>
  <c r="C6"/>
  <c r="D6" s="1"/>
  <c r="E6" s="1"/>
  <c r="C7"/>
  <c r="C8"/>
  <c r="D8" s="1"/>
  <c r="E8" s="1"/>
  <c r="C9"/>
  <c r="C10"/>
  <c r="D10" s="1"/>
  <c r="E10" s="1"/>
  <c r="C11"/>
  <c r="C12"/>
  <c r="C13"/>
  <c r="D13" s="1"/>
  <c r="E13" s="1"/>
  <c r="C14"/>
  <c r="D14" s="1"/>
  <c r="E14" s="1"/>
  <c r="C15"/>
  <c r="D15" s="1"/>
  <c r="E15" s="1"/>
  <c r="C16"/>
  <c r="C17"/>
  <c r="C4"/>
  <c r="D4" s="1"/>
  <c r="E4" s="1"/>
  <c r="F4" s="1"/>
  <c r="D9"/>
  <c r="E9" s="1"/>
  <c r="D5"/>
  <c r="E5" s="1"/>
  <c r="D7"/>
  <c r="E7" s="1"/>
  <c r="D11"/>
  <c r="E11" s="1"/>
  <c r="D12"/>
  <c r="E12" s="1"/>
  <c r="D16"/>
  <c r="E16" s="1"/>
  <c r="D17"/>
  <c r="E17" s="1"/>
  <c r="I27" i="4"/>
  <c r="N21"/>
  <c r="N22"/>
  <c r="N23"/>
  <c r="N24"/>
  <c r="N25"/>
  <c r="N26"/>
  <c r="N20"/>
  <c r="L22"/>
  <c r="L23" s="1"/>
  <c r="L24" s="1"/>
  <c r="L25" s="1"/>
  <c r="L26" s="1"/>
  <c r="L21"/>
  <c r="L20"/>
  <c r="K21"/>
  <c r="K22"/>
  <c r="K23"/>
  <c r="K24"/>
  <c r="K25"/>
  <c r="K26"/>
  <c r="K20"/>
  <c r="H7"/>
  <c r="H8"/>
  <c r="H9"/>
  <c r="H10"/>
  <c r="H11"/>
  <c r="H12"/>
  <c r="H6"/>
  <c r="E5"/>
  <c r="D5"/>
  <c r="E6"/>
  <c r="E7"/>
  <c r="E8"/>
  <c r="E9"/>
  <c r="E10"/>
  <c r="E11"/>
  <c r="E12"/>
  <c r="M6"/>
  <c r="M7"/>
  <c r="M8"/>
  <c r="M9"/>
  <c r="M10"/>
  <c r="M11"/>
  <c r="M12"/>
  <c r="M13"/>
  <c r="M14"/>
  <c r="M15"/>
  <c r="M16"/>
  <c r="M17"/>
  <c r="M5"/>
  <c r="L6"/>
  <c r="L7"/>
  <c r="L8"/>
  <c r="L9"/>
  <c r="L10"/>
  <c r="L11"/>
  <c r="L12"/>
  <c r="L13"/>
  <c r="L14"/>
  <c r="L15"/>
  <c r="L16"/>
  <c r="L17"/>
  <c r="L5"/>
  <c r="D6"/>
  <c r="D7"/>
  <c r="D8"/>
  <c r="D9"/>
  <c r="D10"/>
  <c r="D11"/>
  <c r="D12"/>
  <c r="G8" i="1"/>
  <c r="T21" i="3"/>
  <c r="T22"/>
  <c r="T23"/>
  <c r="T24"/>
  <c r="T25"/>
  <c r="T26"/>
  <c r="T27"/>
  <c r="T28"/>
  <c r="T29"/>
  <c r="T30"/>
  <c r="T31"/>
  <c r="T32"/>
  <c r="T20"/>
  <c r="Q21"/>
  <c r="Q22"/>
  <c r="Q23"/>
  <c r="Q24"/>
  <c r="Q25"/>
  <c r="Q26"/>
  <c r="Q27"/>
  <c r="Q28"/>
  <c r="Q29"/>
  <c r="Q30"/>
  <c r="Q31"/>
  <c r="Q32"/>
  <c r="Q20"/>
  <c r="G6"/>
  <c r="G5"/>
  <c r="G13"/>
  <c r="G14"/>
  <c r="G21"/>
  <c r="G22"/>
  <c r="G4"/>
  <c r="D6"/>
  <c r="D7"/>
  <c r="G7" s="1"/>
  <c r="D8"/>
  <c r="G8" s="1"/>
  <c r="D9"/>
  <c r="G9" s="1"/>
  <c r="D10"/>
  <c r="G10" s="1"/>
  <c r="D11"/>
  <c r="G11" s="1"/>
  <c r="D12"/>
  <c r="G12" s="1"/>
  <c r="D13"/>
  <c r="D14"/>
  <c r="D15"/>
  <c r="G15" s="1"/>
  <c r="D16"/>
  <c r="G16" s="1"/>
  <c r="D17"/>
  <c r="G17" s="1"/>
  <c r="D18"/>
  <c r="G18" s="1"/>
  <c r="D19"/>
  <c r="G19" s="1"/>
  <c r="D20"/>
  <c r="G20" s="1"/>
  <c r="D21"/>
  <c r="D22"/>
  <c r="D23"/>
  <c r="G23" s="1"/>
  <c r="D24"/>
  <c r="G24" s="1"/>
  <c r="D25"/>
  <c r="G25" s="1"/>
  <c r="D26"/>
  <c r="G26" s="1"/>
  <c r="D5"/>
  <c r="F8" i="1"/>
  <c r="G7"/>
  <c r="N6"/>
  <c r="O6" s="1"/>
  <c r="N16"/>
  <c r="O16" s="1"/>
  <c r="N17"/>
  <c r="O17" s="1"/>
  <c r="N18"/>
  <c r="O18" s="1"/>
  <c r="N19"/>
  <c r="O19" s="1"/>
  <c r="N15"/>
  <c r="O15" s="1"/>
  <c r="N14"/>
  <c r="O14" s="1"/>
  <c r="N13"/>
  <c r="O13" s="1"/>
  <c r="N12"/>
  <c r="O12" s="1"/>
  <c r="N7"/>
  <c r="O7" s="1"/>
  <c r="N8"/>
  <c r="O8" s="1"/>
  <c r="N9"/>
  <c r="O9" s="1"/>
  <c r="N10"/>
  <c r="O10" s="1"/>
  <c r="N11"/>
  <c r="O11" s="1"/>
  <c r="G21" i="6" l="1"/>
  <c r="G20"/>
  <c r="G19"/>
  <c r="G18"/>
  <c r="F14"/>
  <c r="F6"/>
  <c r="F15"/>
  <c r="F5"/>
  <c r="G5" s="1"/>
  <c r="G10"/>
  <c r="G16"/>
  <c r="G9"/>
  <c r="G15"/>
  <c r="G11"/>
  <c r="G8"/>
  <c r="G17"/>
  <c r="G14"/>
  <c r="G7"/>
  <c r="G13"/>
  <c r="G6"/>
  <c r="G12"/>
  <c r="F16" i="5"/>
  <c r="F17"/>
  <c r="F10"/>
  <c r="F6"/>
  <c r="F12"/>
  <c r="F14"/>
  <c r="F13"/>
  <c r="F15"/>
  <c r="F7"/>
  <c r="F8"/>
  <c r="F5"/>
  <c r="F11"/>
  <c r="F9"/>
  <c r="K8" i="1"/>
  <c r="K9"/>
  <c r="K10"/>
  <c r="K11"/>
  <c r="K7"/>
  <c r="K6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</calcChain>
</file>

<file path=xl/sharedStrings.xml><?xml version="1.0" encoding="utf-8"?>
<sst xmlns="http://schemas.openxmlformats.org/spreadsheetml/2006/main" count="416" uniqueCount="137">
  <si>
    <t>A3</t>
  </si>
  <si>
    <t>Hz</t>
  </si>
  <si>
    <t>A2</t>
  </si>
  <si>
    <t>A1</t>
  </si>
  <si>
    <t>A4</t>
  </si>
  <si>
    <t>A5</t>
  </si>
  <si>
    <t>A6</t>
  </si>
  <si>
    <t>Taste</t>
  </si>
  <si>
    <t>B</t>
  </si>
  <si>
    <t>H</t>
  </si>
  <si>
    <t>C#</t>
  </si>
  <si>
    <t>D</t>
  </si>
  <si>
    <t>D#</t>
  </si>
  <si>
    <t>E</t>
  </si>
  <si>
    <t>F</t>
  </si>
  <si>
    <t>F#</t>
  </si>
  <si>
    <t>G</t>
  </si>
  <si>
    <t>G#</t>
  </si>
  <si>
    <t>A</t>
  </si>
  <si>
    <t>Cent</t>
  </si>
  <si>
    <t>frqu1</t>
  </si>
  <si>
    <t>frqu2</t>
  </si>
  <si>
    <t>MSB</t>
  </si>
  <si>
    <t>LSB</t>
  </si>
  <si>
    <t>C1</t>
  </si>
  <si>
    <t>C2</t>
  </si>
  <si>
    <t>A7</t>
  </si>
  <si>
    <t>C7</t>
  </si>
  <si>
    <t>C3</t>
  </si>
  <si>
    <t>C4</t>
  </si>
  <si>
    <t>C5</t>
  </si>
  <si>
    <t>C6</t>
  </si>
  <si>
    <t>Berechnungen: Intervalle in Hz, Cent und Pitchbend</t>
  </si>
  <si>
    <t>Block 1</t>
  </si>
  <si>
    <t>Block2</t>
  </si>
  <si>
    <t>Block3</t>
  </si>
  <si>
    <t>Centabw.</t>
  </si>
  <si>
    <t>Nr.</t>
  </si>
  <si>
    <t>256zu243</t>
  </si>
  <si>
    <t>27/20</t>
  </si>
  <si>
    <t>16zu15</t>
  </si>
  <si>
    <t>10zu9</t>
  </si>
  <si>
    <t>9zu8</t>
  </si>
  <si>
    <t>32zu27</t>
  </si>
  <si>
    <t>6zu5</t>
  </si>
  <si>
    <t>5zu4</t>
  </si>
  <si>
    <t>81zu64</t>
  </si>
  <si>
    <t>4zu3</t>
  </si>
  <si>
    <t>45/32</t>
  </si>
  <si>
    <t>729/512</t>
  </si>
  <si>
    <t>3zu2</t>
  </si>
  <si>
    <t>128/81</t>
  </si>
  <si>
    <t>8zu5</t>
  </si>
  <si>
    <t>5zu3</t>
  </si>
  <si>
    <t>27zu16</t>
  </si>
  <si>
    <t>16zu9</t>
  </si>
  <si>
    <t>9zu5</t>
  </si>
  <si>
    <t>15zu8</t>
  </si>
  <si>
    <t>243/128</t>
  </si>
  <si>
    <t>2zu1</t>
  </si>
  <si>
    <t>Grundton c# =</t>
  </si>
  <si>
    <t>S</t>
  </si>
  <si>
    <t>r</t>
  </si>
  <si>
    <t>R</t>
  </si>
  <si>
    <t>g</t>
  </si>
  <si>
    <t>M</t>
  </si>
  <si>
    <t>m</t>
  </si>
  <si>
    <t>P</t>
  </si>
  <si>
    <t>d</t>
  </si>
  <si>
    <t>n</t>
  </si>
  <si>
    <t>N</t>
  </si>
  <si>
    <t>Name</t>
  </si>
  <si>
    <t>temp.</t>
  </si>
  <si>
    <t>Intervall</t>
  </si>
  <si>
    <t>Der gesamte Tonvorrat</t>
  </si>
  <si>
    <t>C</t>
  </si>
  <si>
    <t>Der Tonvorrat der Thatas von C# aus</t>
  </si>
  <si>
    <t>Thatas von C aus:</t>
  </si>
  <si>
    <t>Kalyana</t>
  </si>
  <si>
    <t>e</t>
  </si>
  <si>
    <t>f#</t>
  </si>
  <si>
    <t>g#</t>
  </si>
  <si>
    <t>a</t>
  </si>
  <si>
    <t>h</t>
  </si>
  <si>
    <t>c#</t>
  </si>
  <si>
    <t>gemessen Hz</t>
  </si>
  <si>
    <t>temp</t>
  </si>
  <si>
    <t>d#</t>
  </si>
  <si>
    <t>f</t>
  </si>
  <si>
    <t>b</t>
  </si>
  <si>
    <t>c</t>
  </si>
  <si>
    <t>rein</t>
  </si>
  <si>
    <t>transp.</t>
  </si>
  <si>
    <t>transp.1</t>
  </si>
  <si>
    <t>transp.2</t>
  </si>
  <si>
    <t>rein1</t>
  </si>
  <si>
    <t>rein2</t>
  </si>
  <si>
    <t>Theorie:</t>
  </si>
  <si>
    <t>Praxis:</t>
  </si>
  <si>
    <t>Intervall in Cent</t>
  </si>
  <si>
    <t>Anoushka Shankar im BBC 2020</t>
  </si>
  <si>
    <t>d-e</t>
  </si>
  <si>
    <t>e-f#</t>
  </si>
  <si>
    <t>f#-g#</t>
  </si>
  <si>
    <t>g#-a</t>
  </si>
  <si>
    <t>a-h</t>
  </si>
  <si>
    <t>h-c#</t>
  </si>
  <si>
    <t xml:space="preserve">c#-d </t>
  </si>
  <si>
    <t>gemessen</t>
  </si>
  <si>
    <t>Differenz</t>
  </si>
  <si>
    <t>kumuliert</t>
  </si>
  <si>
    <t>Messwerte an der Abbildung "Sitar Ravi Shankar Style"</t>
  </si>
  <si>
    <t>linke Position des Stegs 2,22</t>
  </si>
  <si>
    <t>Länge</t>
  </si>
  <si>
    <t>Messpunkt</t>
  </si>
  <si>
    <t>Abstand</t>
  </si>
  <si>
    <t>Saitenlänge</t>
  </si>
  <si>
    <t>Abw.</t>
  </si>
  <si>
    <t>Zweite Messung mit Vergrößerung:</t>
  </si>
  <si>
    <t>Steg</t>
  </si>
  <si>
    <t>Meßpunkt</t>
  </si>
  <si>
    <t>0 (Steg)</t>
  </si>
  <si>
    <t>alter MP</t>
  </si>
  <si>
    <t>Steglinks</t>
  </si>
  <si>
    <t>Stegrechts</t>
  </si>
  <si>
    <t>Messungen an Anouskas Sitar aus dem BBC-Konzert 2020:</t>
  </si>
  <si>
    <t>Messungen der Frequenzen im Konzert</t>
  </si>
  <si>
    <t>Längenmessung</t>
  </si>
  <si>
    <t>klingend:</t>
  </si>
  <si>
    <t>G Grundton</t>
  </si>
  <si>
    <t>Cent von d aus:</t>
  </si>
  <si>
    <t>reine Skala</t>
  </si>
  <si>
    <t>oktaviert</t>
  </si>
  <si>
    <t>Thats von G aus:</t>
  </si>
  <si>
    <t>Int in Cent</t>
  </si>
  <si>
    <t>Erklärung: Bünde sind "tiefer", da die Saiten beim Drücken gespannt, der Ton erhöht wird.</t>
  </si>
  <si>
    <t>Dies ist die Abweichung der Saitenlängen von der reinen Stimmung!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</si>
</sst>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0" fillId="2" borderId="0" xfId="0" applyFill="1" applyBorder="1"/>
    <xf numFmtId="0" fontId="0" fillId="4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0" borderId="0" xfId="0" applyFill="1" applyBorder="1" applyAlignment="1">
      <alignment horizontal="right"/>
    </xf>
    <xf numFmtId="1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166" fontId="0" fillId="0" borderId="1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/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0" xfId="0" applyFill="1"/>
    <xf numFmtId="2" fontId="0" fillId="6" borderId="4" xfId="0" applyNumberFormat="1" applyFill="1" applyBorder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5" borderId="0" xfId="0" applyFill="1" applyAlignment="1">
      <alignment horizontal="right"/>
    </xf>
    <xf numFmtId="0" fontId="0" fillId="5" borderId="0" xfId="0" applyFill="1"/>
    <xf numFmtId="2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Hz</a:t>
            </a:r>
          </a:p>
        </c:rich>
      </c:tx>
      <c:layout>
        <c:manualLayout>
          <c:xMode val="edge"/>
          <c:yMode val="edge"/>
          <c:x val="0.43928358208955265"/>
          <c:y val="0.32407407407407457"/>
        </c:manualLayout>
      </c:layout>
    </c:title>
    <c:plotArea>
      <c:layout>
        <c:manualLayout>
          <c:layoutTarget val="inner"/>
          <c:xMode val="edge"/>
          <c:yMode val="edge"/>
          <c:x val="0.1736153876287852"/>
          <c:y val="4.2025736366287515E-2"/>
          <c:w val="0.78260351784385163"/>
          <c:h val="0.84199438611840238"/>
        </c:manualLayout>
      </c:layout>
      <c:lineChart>
        <c:grouping val="standard"/>
        <c:ser>
          <c:idx val="0"/>
          <c:order val="0"/>
          <c:tx>
            <c:strRef>
              <c:f>shruti!$D$4</c:f>
              <c:strCache>
                <c:ptCount val="1"/>
                <c:pt idx="0">
                  <c:v>138,59</c:v>
                </c:pt>
              </c:strCache>
            </c:strRef>
          </c:tx>
          <c:val>
            <c:numRef>
              <c:f>shruti!$D$5:$D$26</c:f>
              <c:numCache>
                <c:formatCode>0.00</c:formatCode>
                <c:ptCount val="22"/>
                <c:pt idx="0">
                  <c:v>146.00566569975152</c:v>
                </c:pt>
                <c:pt idx="1">
                  <c:v>147.83073652099841</c:v>
                </c:pt>
                <c:pt idx="2">
                  <c:v>153.99035054270669</c:v>
                </c:pt>
                <c:pt idx="3">
                  <c:v>155.91522992449052</c:v>
                </c:pt>
                <c:pt idx="4">
                  <c:v>164.25637391222045</c:v>
                </c:pt>
                <c:pt idx="5">
                  <c:v>166.30957858612319</c:v>
                </c:pt>
                <c:pt idx="6">
                  <c:v>173.23914436054503</c:v>
                </c:pt>
                <c:pt idx="7">
                  <c:v>175.40463366505182</c:v>
                </c:pt>
                <c:pt idx="8">
                  <c:v>184.788420651248</c:v>
                </c:pt>
                <c:pt idx="9">
                  <c:v>187.09827590938863</c:v>
                </c:pt>
                <c:pt idx="10">
                  <c:v>194.89403740561315</c:v>
                </c:pt>
                <c:pt idx="11">
                  <c:v>205.45079776508385</c:v>
                </c:pt>
                <c:pt idx="12">
                  <c:v>207.88697323265401</c:v>
                </c:pt>
                <c:pt idx="13">
                  <c:v>219.00849854962726</c:v>
                </c:pt>
                <c:pt idx="14">
                  <c:v>221.74610478149762</c:v>
                </c:pt>
                <c:pt idx="15">
                  <c:v>230.98552581406003</c:v>
                </c:pt>
                <c:pt idx="16">
                  <c:v>233.87284488673578</c:v>
                </c:pt>
                <c:pt idx="17">
                  <c:v>246.38456086833068</c:v>
                </c:pt>
                <c:pt idx="18">
                  <c:v>249.46436787918483</c:v>
                </c:pt>
                <c:pt idx="19">
                  <c:v>259.85871654081751</c:v>
                </c:pt>
                <c:pt idx="20">
                  <c:v>263.10695049757771</c:v>
                </c:pt>
                <c:pt idx="21">
                  <c:v>277.18263097687202</c:v>
                </c:pt>
              </c:numCache>
            </c:numRef>
          </c:val>
        </c:ser>
        <c:marker val="1"/>
        <c:axId val="121403264"/>
        <c:axId val="121404800"/>
      </c:lineChart>
      <c:catAx>
        <c:axId val="121403264"/>
        <c:scaling>
          <c:orientation val="minMax"/>
        </c:scaling>
        <c:axPos val="b"/>
        <c:tickLblPos val="nextTo"/>
        <c:crossAx val="121404800"/>
        <c:crosses val="autoZero"/>
        <c:auto val="1"/>
        <c:lblAlgn val="ctr"/>
        <c:lblOffset val="100"/>
      </c:catAx>
      <c:valAx>
        <c:axId val="121404800"/>
        <c:scaling>
          <c:orientation val="minMax"/>
          <c:min val="140"/>
        </c:scaling>
        <c:axPos val="l"/>
        <c:majorGridlines/>
        <c:numFmt formatCode="0.00" sourceLinked="1"/>
        <c:tickLblPos val="nextTo"/>
        <c:crossAx val="121403264"/>
        <c:crosses val="autoZero"/>
        <c:crossBetween val="between"/>
      </c:valAx>
    </c:plotArea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1558573928258974"/>
          <c:y val="5.1400554097404488E-2"/>
          <c:w val="0.82715179352580936"/>
          <c:h val="0.89719889180519119"/>
        </c:manualLayout>
      </c:layout>
      <c:barChart>
        <c:barDir val="col"/>
        <c:grouping val="clustered"/>
        <c:ser>
          <c:idx val="0"/>
          <c:order val="0"/>
          <c:tx>
            <c:strRef>
              <c:f>Kalyana!$D$4</c:f>
              <c:strCache>
                <c:ptCount val="1"/>
                <c:pt idx="0">
                  <c:v>Centabw.</c:v>
                </c:pt>
              </c:strCache>
            </c:strRef>
          </c:tx>
          <c:cat>
            <c:strRef>
              <c:f>Kalyana!$A$5:$A$12</c:f>
              <c:strCache>
                <c:ptCount val="8"/>
                <c:pt idx="0">
                  <c:v>d</c:v>
                </c:pt>
                <c:pt idx="1">
                  <c:v>e</c:v>
                </c:pt>
                <c:pt idx="2">
                  <c:v>f#</c:v>
                </c:pt>
                <c:pt idx="3">
                  <c:v>g#</c:v>
                </c:pt>
                <c:pt idx="4">
                  <c:v>a</c:v>
                </c:pt>
                <c:pt idx="5">
                  <c:v>h</c:v>
                </c:pt>
                <c:pt idx="6">
                  <c:v>c#</c:v>
                </c:pt>
                <c:pt idx="7">
                  <c:v>d</c:v>
                </c:pt>
              </c:strCache>
            </c:strRef>
          </c:cat>
          <c:val>
            <c:numRef>
              <c:f>Kalyana!$D$6:$D$12</c:f>
              <c:numCache>
                <c:formatCode>0.00</c:formatCode>
                <c:ptCount val="7"/>
                <c:pt idx="0">
                  <c:v>19.181352437869798</c:v>
                </c:pt>
                <c:pt idx="1">
                  <c:v>-3.7211649194991319</c:v>
                </c:pt>
                <c:pt idx="2">
                  <c:v>8.7124920973735733</c:v>
                </c:pt>
                <c:pt idx="3">
                  <c:v>1.1799846298437737</c:v>
                </c:pt>
                <c:pt idx="4">
                  <c:v>3.2103718772149472</c:v>
                </c:pt>
                <c:pt idx="5">
                  <c:v>11.62414716598677</c:v>
                </c:pt>
                <c:pt idx="6">
                  <c:v>15.466123059110215</c:v>
                </c:pt>
              </c:numCache>
            </c:numRef>
          </c:val>
        </c:ser>
        <c:ser>
          <c:idx val="1"/>
          <c:order val="1"/>
          <c:tx>
            <c:strRef>
              <c:f>Kalyana!$F$4</c:f>
              <c:strCache>
                <c:ptCount val="1"/>
                <c:pt idx="0">
                  <c:v>rein1</c:v>
                </c:pt>
              </c:strCache>
            </c:strRef>
          </c:tx>
          <c:cat>
            <c:strRef>
              <c:f>Kalyana!$A$5:$A$12</c:f>
              <c:strCache>
                <c:ptCount val="8"/>
                <c:pt idx="0">
                  <c:v>d</c:v>
                </c:pt>
                <c:pt idx="1">
                  <c:v>e</c:v>
                </c:pt>
                <c:pt idx="2">
                  <c:v>f#</c:v>
                </c:pt>
                <c:pt idx="3">
                  <c:v>g#</c:v>
                </c:pt>
                <c:pt idx="4">
                  <c:v>a</c:v>
                </c:pt>
                <c:pt idx="5">
                  <c:v>h</c:v>
                </c:pt>
                <c:pt idx="6">
                  <c:v>c#</c:v>
                </c:pt>
                <c:pt idx="7">
                  <c:v>d</c:v>
                </c:pt>
              </c:strCache>
            </c:strRef>
          </c:cat>
          <c:val>
            <c:numRef>
              <c:f>Kalyana!$F$5:$F$12</c:f>
              <c:numCache>
                <c:formatCode>0.00</c:formatCode>
                <c:ptCount val="8"/>
                <c:pt idx="0">
                  <c:v>6.09</c:v>
                </c:pt>
                <c:pt idx="1">
                  <c:v>10.000001730769766</c:v>
                </c:pt>
                <c:pt idx="2">
                  <c:v>-7.5962861351701498</c:v>
                </c:pt>
                <c:pt idx="3">
                  <c:v>-3.6862844043955025</c:v>
                </c:pt>
                <c:pt idx="4">
                  <c:v>8.0450008653822387</c:v>
                </c:pt>
                <c:pt idx="5">
                  <c:v>-9.5512870005577675</c:v>
                </c:pt>
                <c:pt idx="6">
                  <c:v>-5.6412852697830367</c:v>
                </c:pt>
                <c:pt idx="7">
                  <c:v>6.0899999999948102</c:v>
                </c:pt>
              </c:numCache>
            </c:numRef>
          </c:val>
        </c:ser>
        <c:axId val="122060800"/>
        <c:axId val="122062336"/>
      </c:barChart>
      <c:catAx>
        <c:axId val="122060800"/>
        <c:scaling>
          <c:orientation val="minMax"/>
        </c:scaling>
        <c:axPos val="b"/>
        <c:tickLblPos val="nextTo"/>
        <c:crossAx val="122062336"/>
        <c:crosses val="autoZero"/>
        <c:auto val="1"/>
        <c:lblAlgn val="ctr"/>
        <c:lblOffset val="100"/>
      </c:catAx>
      <c:valAx>
        <c:axId val="122062336"/>
        <c:scaling>
          <c:orientation val="minMax"/>
        </c:scaling>
        <c:axPos val="l"/>
        <c:majorGridlines/>
        <c:numFmt formatCode="0.00" sourceLinked="1"/>
        <c:tickLblPos val="nextTo"/>
        <c:crossAx val="122060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51531058617665"/>
          <c:y val="0.13850503062117242"/>
          <c:w val="0.15448468941382332"/>
          <c:h val="0.19762746869756034"/>
        </c:manualLayout>
      </c:layout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clustered"/>
        <c:ser>
          <c:idx val="0"/>
          <c:order val="0"/>
          <c:cat>
            <c:strRef>
              <c:f>Kalyana!$H$20:$H$26</c:f>
              <c:strCache>
                <c:ptCount val="7"/>
                <c:pt idx="0">
                  <c:v>d-e</c:v>
                </c:pt>
                <c:pt idx="1">
                  <c:v>e-f#</c:v>
                </c:pt>
                <c:pt idx="2">
                  <c:v>f#-g#</c:v>
                </c:pt>
                <c:pt idx="3">
                  <c:v>g#-a</c:v>
                </c:pt>
                <c:pt idx="4">
                  <c:v>a-h</c:v>
                </c:pt>
                <c:pt idx="5">
                  <c:v>h-c#</c:v>
                </c:pt>
                <c:pt idx="6">
                  <c:v>c#-d </c:v>
                </c:pt>
              </c:strCache>
            </c:strRef>
          </c:cat>
          <c:val>
            <c:numRef>
              <c:f>Kalyana!$I$20:$I$26</c:f>
              <c:numCache>
                <c:formatCode>0.00</c:formatCode>
                <c:ptCount val="7"/>
                <c:pt idx="0">
                  <c:v>213.0891083834978</c:v>
                </c:pt>
                <c:pt idx="1">
                  <c:v>177.09748264263123</c:v>
                </c:pt>
                <c:pt idx="2">
                  <c:v>212.43365701687284</c:v>
                </c:pt>
                <c:pt idx="3">
                  <c:v>92.467492532469905</c:v>
                </c:pt>
                <c:pt idx="4">
                  <c:v>202.03038724737155</c:v>
                </c:pt>
                <c:pt idx="5">
                  <c:v>208.41377528877152</c:v>
                </c:pt>
                <c:pt idx="6">
                  <c:v>103.84197589312336</c:v>
                </c:pt>
              </c:numCache>
            </c:numRef>
          </c:val>
        </c:ser>
        <c:axId val="122090240"/>
        <c:axId val="122091776"/>
      </c:barChart>
      <c:catAx>
        <c:axId val="122090240"/>
        <c:scaling>
          <c:orientation val="minMax"/>
        </c:scaling>
        <c:axPos val="b"/>
        <c:tickLblPos val="nextTo"/>
        <c:crossAx val="122091776"/>
        <c:crosses val="autoZero"/>
        <c:auto val="1"/>
        <c:lblAlgn val="ctr"/>
        <c:lblOffset val="100"/>
      </c:catAx>
      <c:valAx>
        <c:axId val="122091776"/>
        <c:scaling>
          <c:orientation val="minMax"/>
        </c:scaling>
        <c:axPos val="l"/>
        <c:majorGridlines/>
        <c:numFmt formatCode="0.00" sourceLinked="1"/>
        <c:tickLblPos val="nextTo"/>
        <c:crossAx val="122090240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clustered"/>
        <c:ser>
          <c:idx val="0"/>
          <c:order val="0"/>
          <c:cat>
            <c:strRef>
              <c:f>Kalyana!$H$20:$H$26</c:f>
              <c:strCache>
                <c:ptCount val="7"/>
                <c:pt idx="0">
                  <c:v>d-e</c:v>
                </c:pt>
                <c:pt idx="1">
                  <c:v>e-f#</c:v>
                </c:pt>
                <c:pt idx="2">
                  <c:v>f#-g#</c:v>
                </c:pt>
                <c:pt idx="3">
                  <c:v>g#-a</c:v>
                </c:pt>
                <c:pt idx="4">
                  <c:v>a-h</c:v>
                </c:pt>
                <c:pt idx="5">
                  <c:v>h-c#</c:v>
                </c:pt>
                <c:pt idx="6">
                  <c:v>c#-d </c:v>
                </c:pt>
              </c:strCache>
            </c:strRef>
          </c:cat>
          <c:val>
            <c:numRef>
              <c:f>Kalyana!$I$20:$I$26</c:f>
              <c:numCache>
                <c:formatCode>0.00</c:formatCode>
                <c:ptCount val="7"/>
                <c:pt idx="0">
                  <c:v>213.0891083834978</c:v>
                </c:pt>
                <c:pt idx="1">
                  <c:v>177.09748264263123</c:v>
                </c:pt>
                <c:pt idx="2">
                  <c:v>212.43365701687284</c:v>
                </c:pt>
                <c:pt idx="3">
                  <c:v>92.467492532469905</c:v>
                </c:pt>
                <c:pt idx="4">
                  <c:v>202.03038724737155</c:v>
                </c:pt>
                <c:pt idx="5">
                  <c:v>208.41377528877152</c:v>
                </c:pt>
                <c:pt idx="6">
                  <c:v>103.84197589312336</c:v>
                </c:pt>
              </c:numCache>
            </c:numRef>
          </c:val>
        </c:ser>
        <c:ser>
          <c:idx val="1"/>
          <c:order val="1"/>
          <c:cat>
            <c:strRef>
              <c:f>Kalyana!$H$20:$H$26</c:f>
              <c:strCache>
                <c:ptCount val="7"/>
                <c:pt idx="0">
                  <c:v>d-e</c:v>
                </c:pt>
                <c:pt idx="1">
                  <c:v>e-f#</c:v>
                </c:pt>
                <c:pt idx="2">
                  <c:v>f#-g#</c:v>
                </c:pt>
                <c:pt idx="3">
                  <c:v>g#-a</c:v>
                </c:pt>
                <c:pt idx="4">
                  <c:v>a-h</c:v>
                </c:pt>
                <c:pt idx="5">
                  <c:v>h-c#</c:v>
                </c:pt>
                <c:pt idx="6">
                  <c:v>c#-d </c:v>
                </c:pt>
              </c:strCache>
            </c:strRef>
          </c:cat>
          <c:val>
            <c:numRef>
              <c:f>Kalyana!$J$20:$J$26</c:f>
              <c:numCache>
                <c:formatCode>General</c:formatCode>
                <c:ptCount val="7"/>
                <c:pt idx="0">
                  <c:v>204</c:v>
                </c:pt>
                <c:pt idx="1">
                  <c:v>204</c:v>
                </c:pt>
                <c:pt idx="2">
                  <c:v>204</c:v>
                </c:pt>
                <c:pt idx="3">
                  <c:v>90</c:v>
                </c:pt>
                <c:pt idx="4">
                  <c:v>204</c:v>
                </c:pt>
                <c:pt idx="5">
                  <c:v>204</c:v>
                </c:pt>
                <c:pt idx="6">
                  <c:v>90</c:v>
                </c:pt>
              </c:numCache>
            </c:numRef>
          </c:val>
        </c:ser>
        <c:axId val="122189696"/>
        <c:axId val="122191232"/>
      </c:barChart>
      <c:catAx>
        <c:axId val="122189696"/>
        <c:scaling>
          <c:orientation val="minMax"/>
        </c:scaling>
        <c:axPos val="b"/>
        <c:tickLblPos val="nextTo"/>
        <c:crossAx val="122191232"/>
        <c:crosses val="autoZero"/>
        <c:auto val="1"/>
        <c:lblAlgn val="ctr"/>
        <c:lblOffset val="100"/>
      </c:catAx>
      <c:valAx>
        <c:axId val="122191232"/>
        <c:scaling>
          <c:logBase val="10"/>
          <c:orientation val="minMax"/>
          <c:max val="400"/>
          <c:min val="40"/>
        </c:scaling>
        <c:delete val="1"/>
        <c:axPos val="l"/>
        <c:majorGridlines/>
        <c:numFmt formatCode="0.00" sourceLinked="1"/>
        <c:tickLblPos val="none"/>
        <c:crossAx val="122189696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 sz="1200" b="0"/>
              <a:t>Differenzen zwischen gemessener und reiner Stimmung 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Kalyana!$K$19</c:f>
              <c:strCache>
                <c:ptCount val="1"/>
                <c:pt idx="0">
                  <c:v>Differenz</c:v>
                </c:pt>
              </c:strCache>
            </c:strRef>
          </c:tx>
          <c:cat>
            <c:strRef>
              <c:f>Kalyana!$H$20:$H$26</c:f>
              <c:strCache>
                <c:ptCount val="7"/>
                <c:pt idx="0">
                  <c:v>d-e</c:v>
                </c:pt>
                <c:pt idx="1">
                  <c:v>e-f#</c:v>
                </c:pt>
                <c:pt idx="2">
                  <c:v>f#-g#</c:v>
                </c:pt>
                <c:pt idx="3">
                  <c:v>g#-a</c:v>
                </c:pt>
                <c:pt idx="4">
                  <c:v>a-h</c:v>
                </c:pt>
                <c:pt idx="5">
                  <c:v>h-c#</c:v>
                </c:pt>
                <c:pt idx="6">
                  <c:v>c#-d </c:v>
                </c:pt>
              </c:strCache>
            </c:strRef>
          </c:cat>
          <c:val>
            <c:numRef>
              <c:f>Kalyana!$K$20:$K$26</c:f>
              <c:numCache>
                <c:formatCode>0.00</c:formatCode>
                <c:ptCount val="7"/>
                <c:pt idx="0">
                  <c:v>9.0891083834978019</c:v>
                </c:pt>
                <c:pt idx="1">
                  <c:v>-26.902517357368765</c:v>
                </c:pt>
                <c:pt idx="2">
                  <c:v>8.4336570168728429</c:v>
                </c:pt>
                <c:pt idx="3">
                  <c:v>2.4674925324699046</c:v>
                </c:pt>
                <c:pt idx="4">
                  <c:v>-1.9696127526284499</c:v>
                </c:pt>
                <c:pt idx="5">
                  <c:v>4.413775288771518</c:v>
                </c:pt>
                <c:pt idx="6">
                  <c:v>13.841975893123362</c:v>
                </c:pt>
              </c:numCache>
            </c:numRef>
          </c:val>
        </c:ser>
        <c:axId val="122210560"/>
        <c:axId val="122691584"/>
      </c:barChart>
      <c:catAx>
        <c:axId val="122210560"/>
        <c:scaling>
          <c:orientation val="minMax"/>
        </c:scaling>
        <c:axPos val="b"/>
        <c:tickLblPos val="nextTo"/>
        <c:crossAx val="122691584"/>
        <c:crosses val="autoZero"/>
        <c:auto val="1"/>
        <c:lblAlgn val="ctr"/>
        <c:lblOffset val="100"/>
      </c:catAx>
      <c:valAx>
        <c:axId val="122691584"/>
        <c:scaling>
          <c:orientation val="minMax"/>
        </c:scaling>
        <c:axPos val="l"/>
        <c:majorGridlines/>
        <c:numFmt formatCode="0.00" sourceLinked="1"/>
        <c:tickLblPos val="nextTo"/>
        <c:crossAx val="122210560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 sz="1200" b="0"/>
              <a:t>Differenzen zwischen gemessener und temperierter Stimmung</a:t>
            </a:r>
          </a:p>
        </c:rich>
      </c:tx>
      <c:layout>
        <c:manualLayout>
          <c:xMode val="edge"/>
          <c:yMode val="edge"/>
          <c:x val="0.16419286171905675"/>
          <c:y val="3.703703703703704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Kalyana!$N$19</c:f>
              <c:strCache>
                <c:ptCount val="1"/>
                <c:pt idx="0">
                  <c:v>Differenz</c:v>
                </c:pt>
              </c:strCache>
            </c:strRef>
          </c:tx>
          <c:cat>
            <c:strRef>
              <c:f>Kalyana!$H$20:$H$26</c:f>
              <c:strCache>
                <c:ptCount val="7"/>
                <c:pt idx="0">
                  <c:v>d-e</c:v>
                </c:pt>
                <c:pt idx="1">
                  <c:v>e-f#</c:v>
                </c:pt>
                <c:pt idx="2">
                  <c:v>f#-g#</c:v>
                </c:pt>
                <c:pt idx="3">
                  <c:v>g#-a</c:v>
                </c:pt>
                <c:pt idx="4">
                  <c:v>a-h</c:v>
                </c:pt>
                <c:pt idx="5">
                  <c:v>h-c#</c:v>
                </c:pt>
                <c:pt idx="6">
                  <c:v>c#-d </c:v>
                </c:pt>
              </c:strCache>
            </c:strRef>
          </c:cat>
          <c:val>
            <c:numRef>
              <c:f>Kalyana!$N$20:$N$26</c:f>
              <c:numCache>
                <c:formatCode>0.00</c:formatCode>
                <c:ptCount val="7"/>
                <c:pt idx="0">
                  <c:v>13.089108383497802</c:v>
                </c:pt>
                <c:pt idx="1">
                  <c:v>-22.902517357368765</c:v>
                </c:pt>
                <c:pt idx="2">
                  <c:v>12.433657016872843</c:v>
                </c:pt>
                <c:pt idx="3">
                  <c:v>-7.5325074675300954</c:v>
                </c:pt>
                <c:pt idx="4">
                  <c:v>2.0303872473715501</c:v>
                </c:pt>
                <c:pt idx="5">
                  <c:v>8.413775288771518</c:v>
                </c:pt>
                <c:pt idx="6">
                  <c:v>3.8419758931233616</c:v>
                </c:pt>
              </c:numCache>
            </c:numRef>
          </c:val>
        </c:ser>
        <c:axId val="122749312"/>
        <c:axId val="122750848"/>
      </c:barChart>
      <c:catAx>
        <c:axId val="122749312"/>
        <c:scaling>
          <c:orientation val="minMax"/>
        </c:scaling>
        <c:axPos val="b"/>
        <c:tickLblPos val="nextTo"/>
        <c:crossAx val="122750848"/>
        <c:crosses val="autoZero"/>
        <c:auto val="1"/>
        <c:lblAlgn val="ctr"/>
        <c:lblOffset val="100"/>
      </c:catAx>
      <c:valAx>
        <c:axId val="122750848"/>
        <c:scaling>
          <c:orientation val="minMax"/>
        </c:scaling>
        <c:axPos val="l"/>
        <c:majorGridlines/>
        <c:numFmt formatCode="0.00" sourceLinked="1"/>
        <c:tickLblPos val="nextTo"/>
        <c:crossAx val="122749312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2</xdr:row>
      <xdr:rowOff>76200</xdr:rowOff>
    </xdr:from>
    <xdr:to>
      <xdr:col>13</xdr:col>
      <xdr:colOff>190500</xdr:colOff>
      <xdr:row>17</xdr:row>
      <xdr:rowOff>171450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733425</xdr:colOff>
      <xdr:row>18</xdr:row>
      <xdr:rowOff>85725</xdr:rowOff>
    </xdr:from>
    <xdr:to>
      <xdr:col>25</xdr:col>
      <xdr:colOff>733425</xdr:colOff>
      <xdr:row>30</xdr:row>
      <xdr:rowOff>123825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15</xdr:row>
      <xdr:rowOff>76200</xdr:rowOff>
    </xdr:from>
    <xdr:to>
      <xdr:col>6</xdr:col>
      <xdr:colOff>409575</xdr:colOff>
      <xdr:row>25</xdr:row>
      <xdr:rowOff>38100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323850</xdr:colOff>
      <xdr:row>26</xdr:row>
      <xdr:rowOff>57150</xdr:rowOff>
    </xdr:from>
    <xdr:to>
      <xdr:col>6</xdr:col>
      <xdr:colOff>457200</xdr:colOff>
      <xdr:row>38</xdr:row>
      <xdr:rowOff>47625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323850</xdr:colOff>
      <xdr:row>38</xdr:row>
      <xdr:rowOff>152400</xdr:rowOff>
    </xdr:from>
    <xdr:to>
      <xdr:col>6</xdr:col>
      <xdr:colOff>457200</xdr:colOff>
      <xdr:row>49</xdr:row>
      <xdr:rowOff>152400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428625</xdr:colOff>
      <xdr:row>27</xdr:row>
      <xdr:rowOff>114300</xdr:rowOff>
    </xdr:from>
    <xdr:ext cx="2074799" cy="264560"/>
    <xdr:sp macro="" textlink="">
      <xdr:nvSpPr>
        <xdr:cNvPr id="12" name="Textfeld 11"/>
        <xdr:cNvSpPr txBox="1"/>
      </xdr:nvSpPr>
      <xdr:spPr>
        <a:xfrm>
          <a:off x="990600" y="5257800"/>
          <a:ext cx="20747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de-DE" sz="1100"/>
            <a:t>Gemessene und reine"Stimmung</a:t>
          </a:r>
        </a:p>
      </xdr:txBody>
    </xdr:sp>
    <xdr:clientData/>
  </xdr:oneCellAnchor>
  <xdr:twoCellAnchor>
    <xdr:from>
      <xdr:col>7</xdr:col>
      <xdr:colOff>523875</xdr:colOff>
      <xdr:row>37</xdr:row>
      <xdr:rowOff>47624</xdr:rowOff>
    </xdr:from>
    <xdr:to>
      <xdr:col>13</xdr:col>
      <xdr:colOff>371475</xdr:colOff>
      <xdr:row>50</xdr:row>
      <xdr:rowOff>38099</xdr:rowOff>
    </xdr:to>
    <xdr:graphicFrame macro="">
      <xdr:nvGraphicFramePr>
        <xdr:cNvPr id="21" name="Diagram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19</xdr:row>
      <xdr:rowOff>9525</xdr:rowOff>
    </xdr:from>
    <xdr:to>
      <xdr:col>11</xdr:col>
      <xdr:colOff>68580</xdr:colOff>
      <xdr:row>40</xdr:row>
      <xdr:rowOff>65913</xdr:rowOff>
    </xdr:to>
    <xdr:pic>
      <xdr:nvPicPr>
        <xdr:cNvPr id="2" name="Grafik 1" descr="Sitar-Ravi-Shankar-Sty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67025" y="3629025"/>
          <a:ext cx="5745480" cy="4056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23</xdr:row>
      <xdr:rowOff>187152</xdr:rowOff>
    </xdr:from>
    <xdr:to>
      <xdr:col>16</xdr:col>
      <xdr:colOff>44449</xdr:colOff>
      <xdr:row>39</xdr:row>
      <xdr:rowOff>184149</xdr:rowOff>
    </xdr:to>
    <xdr:pic>
      <xdr:nvPicPr>
        <xdr:cNvPr id="2" name="Grafik 1" descr="Sitar-Anushka-mit-Tonhöhenangabe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4568652"/>
          <a:ext cx="10798174" cy="3044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2"/>
  <sheetViews>
    <sheetView topLeftCell="A25" zoomScale="82" workbookViewId="0">
      <selection activeCell="A27" sqref="A27:B39"/>
    </sheetView>
  </sheetViews>
  <sheetFormatPr baseColWidth="10" defaultRowHeight="15"/>
  <cols>
    <col min="1" max="1" width="6.5703125" customWidth="1"/>
    <col min="2" max="2" width="7.5703125" style="20" customWidth="1"/>
    <col min="3" max="3" width="6.42578125" style="4" customWidth="1"/>
    <col min="4" max="4" width="6.42578125" customWidth="1"/>
    <col min="5" max="5" width="7.140625" style="5" customWidth="1"/>
    <col min="6" max="6" width="7.28515625" style="5" customWidth="1"/>
    <col min="7" max="7" width="10.140625" style="5" customWidth="1"/>
    <col min="8" max="8" width="5.85546875" customWidth="1"/>
    <col min="9" max="10" width="8.85546875" customWidth="1"/>
    <col min="12" max="12" width="6.7109375" customWidth="1"/>
    <col min="14" max="15" width="10.5703125" customWidth="1"/>
    <col min="20" max="20" width="9" customWidth="1"/>
    <col min="21" max="21" width="9.85546875" style="5" customWidth="1"/>
    <col min="22" max="22" width="11.42578125" style="5"/>
    <col min="23" max="23" width="9.5703125" customWidth="1"/>
    <col min="24" max="24" width="12.28515625" customWidth="1"/>
    <col min="25" max="25" width="17.140625" customWidth="1"/>
  </cols>
  <sheetData>
    <row r="1" spans="1:25" ht="18.75">
      <c r="A1" s="17" t="s">
        <v>32</v>
      </c>
      <c r="C1" s="15"/>
    </row>
    <row r="2" spans="1:25" ht="18.75">
      <c r="A2" s="17"/>
      <c r="C2" s="16"/>
      <c r="Q2" s="16"/>
      <c r="R2" s="16"/>
      <c r="S2" s="16"/>
      <c r="T2" s="16"/>
      <c r="U2" s="25"/>
      <c r="V2" s="25"/>
      <c r="W2" s="16"/>
      <c r="X2" s="16"/>
    </row>
    <row r="3" spans="1:25">
      <c r="C3" s="16"/>
      <c r="E3" s="19" t="s">
        <v>33</v>
      </c>
      <c r="F3" s="19"/>
      <c r="G3" s="19"/>
      <c r="I3" s="13" t="s">
        <v>34</v>
      </c>
      <c r="J3" s="13"/>
      <c r="K3" s="13"/>
      <c r="M3" s="13" t="s">
        <v>35</v>
      </c>
      <c r="N3" s="13"/>
      <c r="O3" s="13"/>
      <c r="Q3" s="16"/>
      <c r="R3" s="16"/>
      <c r="S3" s="16"/>
      <c r="T3" s="25"/>
      <c r="U3" s="25"/>
      <c r="V3" s="25"/>
      <c r="W3" s="25"/>
      <c r="X3" s="25"/>
      <c r="Y3" s="5"/>
    </row>
    <row r="4" spans="1:25">
      <c r="A4" t="s">
        <v>7</v>
      </c>
      <c r="B4" s="20" t="s">
        <v>1</v>
      </c>
      <c r="C4" s="18"/>
      <c r="E4" s="6" t="s">
        <v>20</v>
      </c>
      <c r="F4" s="6" t="s">
        <v>21</v>
      </c>
      <c r="G4" s="6" t="s">
        <v>19</v>
      </c>
      <c r="I4" s="10" t="s">
        <v>20</v>
      </c>
      <c r="J4" s="10" t="s">
        <v>19</v>
      </c>
      <c r="K4" s="10" t="s">
        <v>21</v>
      </c>
      <c r="M4" s="9" t="s">
        <v>19</v>
      </c>
      <c r="N4" s="9" t="s">
        <v>22</v>
      </c>
      <c r="O4" s="9" t="s">
        <v>23</v>
      </c>
      <c r="Q4" s="16"/>
      <c r="R4" s="22"/>
      <c r="S4" s="16"/>
      <c r="T4" s="25"/>
      <c r="U4" s="25"/>
      <c r="V4" s="25"/>
      <c r="W4" s="16"/>
      <c r="X4" s="26"/>
      <c r="Y4" s="23"/>
    </row>
    <row r="5" spans="1:25">
      <c r="A5" t="s">
        <v>18</v>
      </c>
      <c r="B5" s="20">
        <v>55</v>
      </c>
      <c r="C5" s="2"/>
      <c r="E5" s="6"/>
      <c r="F5" s="6"/>
      <c r="G5" s="6"/>
      <c r="I5" s="11"/>
      <c r="J5" s="11"/>
      <c r="K5" s="11"/>
      <c r="M5" s="6"/>
      <c r="N5" s="6"/>
      <c r="O5" s="6"/>
      <c r="Q5" s="16"/>
      <c r="R5" s="16"/>
      <c r="S5" s="16"/>
      <c r="T5" s="25"/>
      <c r="U5" s="25"/>
      <c r="V5" s="25"/>
      <c r="W5" s="16"/>
      <c r="X5" s="26"/>
      <c r="Y5" s="23"/>
    </row>
    <row r="6" spans="1:25">
      <c r="A6" t="s">
        <v>8</v>
      </c>
      <c r="B6" s="20">
        <f>B5*2^(1/12)</f>
        <v>58.270470189761241</v>
      </c>
      <c r="C6" s="3"/>
      <c r="E6" s="6">
        <v>55</v>
      </c>
      <c r="F6" s="7">
        <v>58.270473000000003</v>
      </c>
      <c r="G6" s="8"/>
      <c r="I6" s="11">
        <v>55</v>
      </c>
      <c r="J6" s="11">
        <v>100</v>
      </c>
      <c r="K6" s="12">
        <f xml:space="preserve"> I6*2^(J6/1200)</f>
        <v>58.270470189761241</v>
      </c>
      <c r="M6" s="6">
        <v>-200</v>
      </c>
      <c r="N6" s="8">
        <f>V4*(128/400)+64</f>
        <v>64</v>
      </c>
      <c r="O6" s="8">
        <f>128*(N6-INT(N6))</f>
        <v>0</v>
      </c>
      <c r="Q6" s="16"/>
      <c r="R6" s="16"/>
      <c r="S6" s="16"/>
      <c r="T6" s="25"/>
      <c r="U6" s="25"/>
      <c r="V6" s="25"/>
      <c r="W6" s="16"/>
      <c r="X6" s="26"/>
      <c r="Y6" s="23"/>
    </row>
    <row r="7" spans="1:25">
      <c r="A7" t="s">
        <v>9</v>
      </c>
      <c r="B7" s="20">
        <f t="shared" ref="B7:B70" si="0">B6*2^(1/12)</f>
        <v>61.735412657015516</v>
      </c>
      <c r="C7" s="2"/>
      <c r="E7" s="6">
        <v>220</v>
      </c>
      <c r="F7" s="6">
        <v>330</v>
      </c>
      <c r="G7" s="8">
        <f>1200*(LN(F7/E7)/LN(2))</f>
        <v>701.95500086538743</v>
      </c>
      <c r="I7" s="11">
        <v>220</v>
      </c>
      <c r="J7" s="11">
        <v>700</v>
      </c>
      <c r="K7" s="12">
        <f xml:space="preserve"> I7*2^(J7/1200)</f>
        <v>329.62755691286992</v>
      </c>
      <c r="M7" s="6">
        <v>-100</v>
      </c>
      <c r="N7" s="8">
        <f t="shared" ref="N7:N19" si="1">M7*(128/400)+64</f>
        <v>32</v>
      </c>
      <c r="O7" s="8">
        <f t="shared" ref="O7:O19" si="2">128*(N7-INT(N7))</f>
        <v>0</v>
      </c>
      <c r="Q7" s="16"/>
      <c r="R7" s="16"/>
      <c r="S7" s="16"/>
      <c r="T7" s="25"/>
      <c r="U7" s="25"/>
      <c r="V7" s="25"/>
      <c r="W7" s="16"/>
      <c r="X7" s="26"/>
      <c r="Y7" s="23"/>
    </row>
    <row r="8" spans="1:25">
      <c r="A8" s="13" t="s">
        <v>24</v>
      </c>
      <c r="B8" s="21">
        <f t="shared" si="0"/>
        <v>65.40639132514967</v>
      </c>
      <c r="C8" s="14"/>
      <c r="E8" s="6">
        <v>174</v>
      </c>
      <c r="F8" s="29">
        <f>B25</f>
        <v>174.61411571650203</v>
      </c>
      <c r="G8" s="8">
        <f>1200*(LN(F8/E8)/LN(2))</f>
        <v>6.0994612111183946</v>
      </c>
      <c r="I8" s="11"/>
      <c r="J8" s="11"/>
      <c r="K8" s="12">
        <f t="shared" ref="K8:K11" si="3" xml:space="preserve"> I8*2^(J8/1200)</f>
        <v>0</v>
      </c>
      <c r="M8" s="6">
        <v>0</v>
      </c>
      <c r="N8" s="8">
        <f t="shared" si="1"/>
        <v>64</v>
      </c>
      <c r="O8" s="8">
        <f t="shared" si="2"/>
        <v>0</v>
      </c>
      <c r="Q8" s="16"/>
      <c r="R8" s="16"/>
      <c r="S8" s="16"/>
      <c r="T8" s="25"/>
      <c r="U8" s="25"/>
      <c r="V8" s="25"/>
      <c r="W8" s="16"/>
      <c r="X8" s="26"/>
      <c r="Y8" s="23"/>
    </row>
    <row r="9" spans="1:25">
      <c r="A9" t="s">
        <v>10</v>
      </c>
      <c r="B9" s="20">
        <f t="shared" si="0"/>
        <v>69.295657744218033</v>
      </c>
      <c r="C9" s="3"/>
      <c r="E9" s="29"/>
      <c r="F9" s="29"/>
      <c r="G9" s="8"/>
      <c r="I9" s="4"/>
      <c r="J9" s="4"/>
      <c r="K9" s="12">
        <f t="shared" si="3"/>
        <v>0</v>
      </c>
      <c r="M9" s="6">
        <v>1</v>
      </c>
      <c r="N9" s="8">
        <f t="shared" si="1"/>
        <v>64.319999999999993</v>
      </c>
      <c r="O9" s="8">
        <f t="shared" si="2"/>
        <v>40.959999999999127</v>
      </c>
      <c r="Q9" s="16"/>
      <c r="R9" s="16"/>
      <c r="S9" s="16"/>
      <c r="T9" s="25"/>
      <c r="U9" s="25"/>
      <c r="V9" s="25"/>
      <c r="W9" s="16"/>
      <c r="X9" s="26"/>
      <c r="Y9" s="23"/>
    </row>
    <row r="10" spans="1:25">
      <c r="A10" t="s">
        <v>11</v>
      </c>
      <c r="B10" s="20">
        <f t="shared" si="0"/>
        <v>73.416191979351908</v>
      </c>
      <c r="C10" s="2"/>
      <c r="G10" s="8"/>
      <c r="I10" s="4"/>
      <c r="J10" s="4"/>
      <c r="K10" s="12">
        <f t="shared" si="3"/>
        <v>0</v>
      </c>
      <c r="M10" s="6">
        <v>10</v>
      </c>
      <c r="N10" s="8">
        <f t="shared" si="1"/>
        <v>67.2</v>
      </c>
      <c r="O10" s="8">
        <f t="shared" si="2"/>
        <v>25.600000000000364</v>
      </c>
      <c r="Q10" s="16"/>
      <c r="R10" s="16"/>
      <c r="S10" s="16"/>
      <c r="T10" s="25"/>
      <c r="U10" s="25"/>
      <c r="V10" s="25"/>
      <c r="W10" s="16"/>
      <c r="X10" s="26"/>
      <c r="Y10" s="23"/>
    </row>
    <row r="11" spans="1:25">
      <c r="A11" t="s">
        <v>12</v>
      </c>
      <c r="B11" s="20">
        <f t="shared" si="0"/>
        <v>77.781745930520245</v>
      </c>
      <c r="C11" s="3"/>
      <c r="E11" s="6"/>
      <c r="F11" s="6"/>
      <c r="G11" s="8"/>
      <c r="I11" s="4"/>
      <c r="J11" s="4"/>
      <c r="K11" s="12">
        <f t="shared" si="3"/>
        <v>0</v>
      </c>
      <c r="M11" s="6">
        <v>50</v>
      </c>
      <c r="N11" s="8">
        <f t="shared" si="1"/>
        <v>80</v>
      </c>
      <c r="O11" s="8">
        <f t="shared" si="2"/>
        <v>0</v>
      </c>
      <c r="Q11" s="16"/>
      <c r="R11" s="16"/>
      <c r="S11" s="16"/>
      <c r="T11" s="25"/>
      <c r="U11" s="25"/>
      <c r="V11" s="25"/>
      <c r="W11" s="16"/>
      <c r="X11" s="26"/>
      <c r="Y11" s="23"/>
    </row>
    <row r="12" spans="1:25">
      <c r="A12" t="s">
        <v>13</v>
      </c>
      <c r="B12" s="20">
        <f t="shared" si="0"/>
        <v>82.406889228217509</v>
      </c>
      <c r="C12" s="2"/>
      <c r="K12" s="1"/>
      <c r="M12" s="6">
        <v>51</v>
      </c>
      <c r="N12" s="8">
        <f t="shared" si="1"/>
        <v>80.319999999999993</v>
      </c>
      <c r="O12" s="8">
        <f t="shared" si="2"/>
        <v>40.959999999999127</v>
      </c>
      <c r="Q12" s="16"/>
      <c r="R12" s="16"/>
      <c r="S12" s="16"/>
      <c r="T12" s="25"/>
      <c r="U12" s="25"/>
      <c r="V12" s="25"/>
      <c r="W12" s="16"/>
      <c r="X12" s="26"/>
      <c r="Y12" s="23"/>
    </row>
    <row r="13" spans="1:25">
      <c r="A13" t="s">
        <v>14</v>
      </c>
      <c r="B13" s="20">
        <f t="shared" si="0"/>
        <v>87.307057858251</v>
      </c>
      <c r="C13" s="2"/>
      <c r="M13" s="6">
        <v>99</v>
      </c>
      <c r="N13" s="8">
        <f t="shared" si="1"/>
        <v>95.68</v>
      </c>
      <c r="O13" s="8">
        <f t="shared" si="2"/>
        <v>87.040000000000873</v>
      </c>
      <c r="Q13" s="16"/>
      <c r="R13" s="16"/>
      <c r="S13" s="16"/>
      <c r="T13" s="25"/>
      <c r="U13" s="25"/>
      <c r="V13" s="25"/>
      <c r="W13" s="16"/>
      <c r="X13" s="26"/>
      <c r="Y13" s="23"/>
    </row>
    <row r="14" spans="1:25">
      <c r="A14" t="s">
        <v>15</v>
      </c>
      <c r="B14" s="20">
        <f t="shared" si="0"/>
        <v>92.498605677908628</v>
      </c>
      <c r="C14" s="3"/>
      <c r="M14" s="6">
        <v>100</v>
      </c>
      <c r="N14" s="8">
        <f t="shared" si="1"/>
        <v>96</v>
      </c>
      <c r="O14" s="8">
        <f t="shared" si="2"/>
        <v>0</v>
      </c>
      <c r="Q14" s="16"/>
      <c r="R14" s="16"/>
      <c r="S14" s="16"/>
      <c r="T14" s="25"/>
      <c r="U14" s="25"/>
      <c r="V14" s="25"/>
      <c r="W14" s="16"/>
      <c r="X14" s="26"/>
      <c r="Y14" s="23"/>
    </row>
    <row r="15" spans="1:25">
      <c r="A15" t="s">
        <v>16</v>
      </c>
      <c r="B15" s="20">
        <f t="shared" si="0"/>
        <v>97.998858995437359</v>
      </c>
      <c r="C15" s="2"/>
      <c r="M15" s="6">
        <v>200</v>
      </c>
      <c r="N15" s="8">
        <f t="shared" si="1"/>
        <v>128</v>
      </c>
      <c r="O15" s="8">
        <f t="shared" si="2"/>
        <v>0</v>
      </c>
      <c r="Q15" s="16"/>
      <c r="R15" s="16"/>
      <c r="S15" s="16"/>
      <c r="T15" s="25"/>
      <c r="U15" s="25"/>
      <c r="V15" s="25"/>
      <c r="W15" s="16"/>
      <c r="X15" s="26"/>
      <c r="Y15" s="23"/>
    </row>
    <row r="16" spans="1:25">
      <c r="A16" t="s">
        <v>17</v>
      </c>
      <c r="B16" s="20">
        <f t="shared" si="0"/>
        <v>103.82617439498632</v>
      </c>
      <c r="C16" s="3"/>
      <c r="M16" s="6"/>
      <c r="N16" s="8">
        <f t="shared" si="1"/>
        <v>64</v>
      </c>
      <c r="O16" s="8">
        <f t="shared" si="2"/>
        <v>0</v>
      </c>
      <c r="Q16" s="16"/>
      <c r="R16" s="16"/>
      <c r="S16" s="16"/>
      <c r="T16" s="25"/>
      <c r="U16" s="25"/>
      <c r="V16" s="25"/>
      <c r="W16" s="16"/>
      <c r="X16" s="26"/>
      <c r="Y16" s="23"/>
    </row>
    <row r="17" spans="1:25">
      <c r="A17" t="s">
        <v>3</v>
      </c>
      <c r="B17" s="20">
        <f t="shared" si="0"/>
        <v>110.00000000000004</v>
      </c>
      <c r="C17" s="2"/>
      <c r="M17" s="4"/>
      <c r="N17" s="8">
        <f t="shared" si="1"/>
        <v>64</v>
      </c>
      <c r="O17" s="8">
        <f t="shared" si="2"/>
        <v>0</v>
      </c>
      <c r="Q17" s="16"/>
      <c r="R17" s="16"/>
      <c r="S17" s="16"/>
      <c r="T17" s="25"/>
      <c r="U17" s="25"/>
      <c r="V17" s="25"/>
      <c r="W17" s="16"/>
      <c r="X17" s="26"/>
      <c r="Y17" s="23"/>
    </row>
    <row r="18" spans="1:25">
      <c r="A18" t="s">
        <v>8</v>
      </c>
      <c r="B18" s="20">
        <f t="shared" si="0"/>
        <v>116.54094037952252</v>
      </c>
      <c r="C18" s="3"/>
      <c r="M18" s="4"/>
      <c r="N18" s="8">
        <f t="shared" si="1"/>
        <v>64</v>
      </c>
      <c r="O18" s="8">
        <f t="shared" si="2"/>
        <v>0</v>
      </c>
      <c r="Q18" s="16"/>
      <c r="R18" s="16"/>
      <c r="S18" s="16"/>
      <c r="T18" s="25"/>
      <c r="U18" s="25"/>
      <c r="V18" s="25"/>
      <c r="W18" s="16"/>
      <c r="X18" s="26"/>
      <c r="Y18" s="23"/>
    </row>
    <row r="19" spans="1:25">
      <c r="A19" t="s">
        <v>9</v>
      </c>
      <c r="B19" s="20">
        <f t="shared" si="0"/>
        <v>123.47082531403107</v>
      </c>
      <c r="C19" s="2"/>
      <c r="M19" s="4"/>
      <c r="N19" s="8">
        <f t="shared" si="1"/>
        <v>64</v>
      </c>
      <c r="O19" s="8">
        <f t="shared" si="2"/>
        <v>0</v>
      </c>
      <c r="Q19" s="18"/>
      <c r="R19" s="18"/>
      <c r="S19" s="18"/>
      <c r="T19" s="27"/>
      <c r="U19" s="27"/>
      <c r="V19" s="28"/>
      <c r="W19" s="26"/>
      <c r="X19" s="26"/>
      <c r="Y19" s="24"/>
    </row>
    <row r="20" spans="1:25">
      <c r="A20" s="13" t="s">
        <v>25</v>
      </c>
      <c r="B20" s="21">
        <f t="shared" si="0"/>
        <v>130.81278265029937</v>
      </c>
      <c r="C20" s="14"/>
      <c r="Q20" s="18"/>
      <c r="R20" s="18"/>
      <c r="S20" s="18"/>
      <c r="T20" s="27"/>
      <c r="U20" s="27"/>
      <c r="V20" s="28"/>
      <c r="W20" s="26"/>
      <c r="X20" s="26"/>
      <c r="Y20" s="24"/>
    </row>
    <row r="21" spans="1:25">
      <c r="A21" t="s">
        <v>10</v>
      </c>
      <c r="B21" s="20">
        <f t="shared" si="0"/>
        <v>138.59131548843609</v>
      </c>
      <c r="C21" s="3"/>
      <c r="Q21" s="18"/>
      <c r="R21" s="18"/>
      <c r="S21" s="18"/>
      <c r="T21" s="27"/>
      <c r="U21" s="27"/>
      <c r="V21" s="28"/>
      <c r="W21" s="26"/>
      <c r="X21" s="26"/>
      <c r="Y21" s="24"/>
    </row>
    <row r="22" spans="1:25">
      <c r="A22" t="s">
        <v>11</v>
      </c>
      <c r="B22" s="20">
        <f>B21*2^(1/12)</f>
        <v>146.83238395870384</v>
      </c>
      <c r="C22" s="2"/>
      <c r="Q22" s="18"/>
      <c r="R22" s="18"/>
      <c r="S22" s="18"/>
      <c r="T22" s="27"/>
      <c r="U22" s="27"/>
      <c r="V22" s="28"/>
      <c r="W22" s="26"/>
      <c r="X22" s="26"/>
      <c r="Y22" s="24"/>
    </row>
    <row r="23" spans="1:25">
      <c r="A23" t="s">
        <v>12</v>
      </c>
      <c r="B23" s="20">
        <f t="shared" si="0"/>
        <v>155.56349186104052</v>
      </c>
      <c r="C23" s="3"/>
      <c r="Q23" s="18"/>
      <c r="R23" s="18"/>
      <c r="S23" s="18"/>
      <c r="T23" s="27"/>
      <c r="U23" s="27"/>
      <c r="V23" s="28"/>
      <c r="W23" s="26"/>
      <c r="X23" s="26"/>
      <c r="Y23" s="24"/>
    </row>
    <row r="24" spans="1:25">
      <c r="A24" t="s">
        <v>13</v>
      </c>
      <c r="B24" s="20">
        <f t="shared" si="0"/>
        <v>164.81377845643505</v>
      </c>
      <c r="C24" s="2"/>
      <c r="Q24" s="18"/>
      <c r="R24" s="18"/>
      <c r="S24" s="18"/>
      <c r="T24" s="27"/>
      <c r="U24" s="27"/>
      <c r="V24" s="28"/>
      <c r="W24" s="26"/>
      <c r="X24" s="26"/>
      <c r="Y24" s="24"/>
    </row>
    <row r="25" spans="1:25">
      <c r="A25" t="s">
        <v>14</v>
      </c>
      <c r="B25" s="20">
        <f t="shared" si="0"/>
        <v>174.61411571650203</v>
      </c>
      <c r="C25" s="2"/>
      <c r="Q25" s="18"/>
      <c r="R25" s="18"/>
      <c r="S25" s="18"/>
      <c r="T25" s="27"/>
      <c r="U25" s="27"/>
      <c r="V25" s="28"/>
      <c r="W25" s="26"/>
      <c r="X25" s="26"/>
      <c r="Y25" s="24"/>
    </row>
    <row r="26" spans="1:25">
      <c r="A26" t="s">
        <v>15</v>
      </c>
      <c r="B26" s="20">
        <f t="shared" si="0"/>
        <v>184.99721135581729</v>
      </c>
      <c r="C26" s="3"/>
      <c r="Q26" s="18"/>
      <c r="R26" s="18"/>
      <c r="S26" s="18"/>
      <c r="T26" s="27"/>
      <c r="U26" s="27"/>
      <c r="V26" s="27"/>
      <c r="W26" s="26"/>
      <c r="X26" s="26"/>
      <c r="Y26" s="24"/>
    </row>
    <row r="27" spans="1:25">
      <c r="A27" t="s">
        <v>16</v>
      </c>
      <c r="B27" s="20">
        <f t="shared" si="0"/>
        <v>195.99771799087475</v>
      </c>
      <c r="C27" s="2"/>
      <c r="Q27" s="18"/>
      <c r="R27" s="18"/>
      <c r="S27" s="18"/>
      <c r="T27" s="27"/>
      <c r="U27" s="27"/>
      <c r="V27" s="28"/>
      <c r="W27" s="26"/>
      <c r="X27" s="26"/>
      <c r="Y27" s="24"/>
    </row>
    <row r="28" spans="1:25">
      <c r="A28" t="s">
        <v>17</v>
      </c>
      <c r="B28" s="20">
        <f t="shared" si="0"/>
        <v>207.65234878997268</v>
      </c>
      <c r="C28" s="3"/>
      <c r="Q28" s="18"/>
      <c r="R28" s="18"/>
      <c r="S28" s="18"/>
      <c r="T28" s="27"/>
      <c r="U28" s="27"/>
      <c r="V28" s="28"/>
      <c r="W28" s="26"/>
      <c r="X28" s="26"/>
      <c r="Y28" s="24"/>
    </row>
    <row r="29" spans="1:25">
      <c r="A29" t="s">
        <v>2</v>
      </c>
      <c r="B29" s="20">
        <f t="shared" si="0"/>
        <v>220.00000000000011</v>
      </c>
      <c r="C29" s="2"/>
      <c r="Q29" s="18"/>
      <c r="R29" s="18"/>
      <c r="S29" s="18"/>
      <c r="T29" s="27"/>
      <c r="U29" s="27"/>
      <c r="V29" s="27"/>
      <c r="W29" s="26"/>
      <c r="X29" s="26"/>
      <c r="Y29" s="24"/>
    </row>
    <row r="30" spans="1:25">
      <c r="A30" t="s">
        <v>8</v>
      </c>
      <c r="B30" s="20">
        <f t="shared" si="0"/>
        <v>233.08188075904508</v>
      </c>
      <c r="C30" s="3"/>
      <c r="Q30" s="18"/>
      <c r="R30" s="18"/>
      <c r="S30" s="18"/>
      <c r="T30" s="27"/>
      <c r="U30" s="27"/>
      <c r="V30" s="28"/>
      <c r="W30" s="26"/>
      <c r="X30" s="26"/>
      <c r="Y30" s="24"/>
    </row>
    <row r="31" spans="1:25">
      <c r="A31" t="s">
        <v>9</v>
      </c>
      <c r="B31" s="20">
        <f t="shared" si="0"/>
        <v>246.94165062806221</v>
      </c>
      <c r="C31" s="2"/>
      <c r="Q31" s="18"/>
      <c r="R31" s="18"/>
      <c r="S31" s="18"/>
      <c r="T31" s="27"/>
      <c r="U31" s="27"/>
      <c r="V31" s="28"/>
      <c r="W31" s="26"/>
      <c r="X31" s="26"/>
      <c r="Y31" s="24"/>
    </row>
    <row r="32" spans="1:25">
      <c r="A32" s="13" t="s">
        <v>28</v>
      </c>
      <c r="B32" s="21">
        <f t="shared" si="0"/>
        <v>261.62556530059879</v>
      </c>
      <c r="C32" s="14"/>
      <c r="Q32" s="18"/>
      <c r="R32" s="18"/>
      <c r="S32" s="18"/>
      <c r="T32" s="27"/>
      <c r="U32" s="27"/>
      <c r="V32" s="27"/>
      <c r="W32" s="26"/>
      <c r="X32" s="26"/>
      <c r="Y32" s="24"/>
    </row>
    <row r="33" spans="1:25">
      <c r="A33" t="s">
        <v>10</v>
      </c>
      <c r="B33" s="20">
        <f t="shared" si="0"/>
        <v>277.1826309768723</v>
      </c>
      <c r="C33" s="3"/>
      <c r="Q33" s="18"/>
      <c r="R33" s="18"/>
      <c r="S33" s="18"/>
      <c r="T33" s="27"/>
      <c r="U33" s="27"/>
      <c r="V33" s="28"/>
      <c r="W33" s="26"/>
      <c r="X33" s="26"/>
      <c r="Y33" s="24"/>
    </row>
    <row r="34" spans="1:25">
      <c r="A34" t="s">
        <v>11</v>
      </c>
      <c r="B34" s="20">
        <f t="shared" si="0"/>
        <v>293.6647679174078</v>
      </c>
      <c r="C34" s="2"/>
      <c r="Q34" s="18"/>
      <c r="R34" s="18"/>
      <c r="S34" s="18"/>
      <c r="T34" s="27"/>
      <c r="U34" s="27"/>
      <c r="V34" s="27"/>
      <c r="W34" s="26"/>
      <c r="X34" s="26"/>
      <c r="Y34" s="24"/>
    </row>
    <row r="35" spans="1:25">
      <c r="A35" t="s">
        <v>12</v>
      </c>
      <c r="B35" s="20">
        <f t="shared" si="0"/>
        <v>311.12698372208121</v>
      </c>
      <c r="C35" s="3"/>
      <c r="Q35" s="18"/>
      <c r="R35" s="18"/>
      <c r="S35" s="18"/>
      <c r="T35" s="27"/>
      <c r="U35" s="27"/>
      <c r="V35" s="28"/>
      <c r="W35" s="26"/>
      <c r="X35" s="26"/>
      <c r="Y35" s="24"/>
    </row>
    <row r="36" spans="1:25">
      <c r="A36" t="s">
        <v>13</v>
      </c>
      <c r="B36" s="20">
        <f t="shared" si="0"/>
        <v>329.62755691287026</v>
      </c>
      <c r="C36" s="2"/>
      <c r="Q36" s="16"/>
      <c r="R36" s="16"/>
      <c r="S36" s="16"/>
      <c r="T36" s="16"/>
      <c r="U36" s="25"/>
      <c r="V36" s="25"/>
      <c r="W36" s="16"/>
      <c r="X36" s="16"/>
    </row>
    <row r="37" spans="1:25">
      <c r="A37" t="s">
        <v>14</v>
      </c>
      <c r="B37" s="20">
        <f t="shared" si="0"/>
        <v>349.22823143300423</v>
      </c>
      <c r="C37" s="2"/>
      <c r="Q37" s="16"/>
      <c r="R37" s="16"/>
      <c r="S37" s="16"/>
      <c r="T37" s="16"/>
      <c r="U37" s="25"/>
      <c r="V37" s="25"/>
      <c r="W37" s="16"/>
      <c r="X37" s="16"/>
    </row>
    <row r="38" spans="1:25">
      <c r="A38" t="s">
        <v>15</v>
      </c>
      <c r="B38" s="20">
        <f t="shared" si="0"/>
        <v>369.9944227116348</v>
      </c>
      <c r="C38" s="3"/>
    </row>
    <row r="39" spans="1:25">
      <c r="A39" t="s">
        <v>16</v>
      </c>
      <c r="B39" s="20">
        <f t="shared" si="0"/>
        <v>391.99543598174972</v>
      </c>
      <c r="C39" s="2"/>
    </row>
    <row r="40" spans="1:25">
      <c r="A40" t="s">
        <v>17</v>
      </c>
      <c r="B40" s="20">
        <f t="shared" si="0"/>
        <v>415.30469757994558</v>
      </c>
      <c r="C40" s="3"/>
    </row>
    <row r="41" spans="1:25">
      <c r="A41" t="s">
        <v>0</v>
      </c>
      <c r="B41" s="20">
        <f t="shared" si="0"/>
        <v>440.00000000000051</v>
      </c>
      <c r="C41" s="2"/>
    </row>
    <row r="42" spans="1:25">
      <c r="A42" t="s">
        <v>8</v>
      </c>
      <c r="B42" s="20">
        <f t="shared" si="0"/>
        <v>466.1637615180905</v>
      </c>
      <c r="C42" s="3"/>
    </row>
    <row r="43" spans="1:25">
      <c r="A43" t="s">
        <v>9</v>
      </c>
      <c r="B43" s="20">
        <f t="shared" si="0"/>
        <v>493.88330125612475</v>
      </c>
      <c r="C43" s="2"/>
    </row>
    <row r="44" spans="1:25">
      <c r="A44" s="13" t="s">
        <v>29</v>
      </c>
      <c r="B44" s="21">
        <f t="shared" si="0"/>
        <v>523.25113060119793</v>
      </c>
      <c r="C44" s="14"/>
    </row>
    <row r="45" spans="1:25">
      <c r="A45" t="s">
        <v>10</v>
      </c>
      <c r="B45" s="20">
        <f t="shared" si="0"/>
        <v>554.36526195374495</v>
      </c>
      <c r="C45" s="3"/>
    </row>
    <row r="46" spans="1:25">
      <c r="A46" t="s">
        <v>11</v>
      </c>
      <c r="B46" s="20">
        <f t="shared" si="0"/>
        <v>587.32953583481594</v>
      </c>
      <c r="C46" s="2"/>
    </row>
    <row r="47" spans="1:25">
      <c r="A47" t="s">
        <v>12</v>
      </c>
      <c r="B47" s="20">
        <f t="shared" si="0"/>
        <v>622.25396744416275</v>
      </c>
      <c r="C47" s="3"/>
    </row>
    <row r="48" spans="1:25">
      <c r="A48" t="s">
        <v>13</v>
      </c>
      <c r="B48" s="20">
        <f t="shared" si="0"/>
        <v>659.25511382574086</v>
      </c>
      <c r="C48" s="2"/>
    </row>
    <row r="49" spans="1:3">
      <c r="A49" t="s">
        <v>14</v>
      </c>
      <c r="B49" s="20">
        <f t="shared" si="0"/>
        <v>698.45646286600891</v>
      </c>
      <c r="C49" s="2"/>
    </row>
    <row r="50" spans="1:3">
      <c r="A50" t="s">
        <v>15</v>
      </c>
      <c r="B50" s="20">
        <f t="shared" si="0"/>
        <v>739.98884542327005</v>
      </c>
      <c r="C50" s="3"/>
    </row>
    <row r="51" spans="1:3">
      <c r="A51" t="s">
        <v>16</v>
      </c>
      <c r="B51" s="20">
        <f t="shared" si="0"/>
        <v>783.9908719634999</v>
      </c>
      <c r="C51" s="2"/>
    </row>
    <row r="52" spans="1:3">
      <c r="A52" t="s">
        <v>17</v>
      </c>
      <c r="B52" s="20">
        <f t="shared" si="0"/>
        <v>830.60939515989173</v>
      </c>
      <c r="C52" s="3"/>
    </row>
    <row r="53" spans="1:3">
      <c r="A53" t="s">
        <v>4</v>
      </c>
      <c r="B53" s="20">
        <f t="shared" si="0"/>
        <v>880.00000000000159</v>
      </c>
      <c r="C53" s="2"/>
    </row>
    <row r="54" spans="1:3">
      <c r="A54" t="s">
        <v>8</v>
      </c>
      <c r="B54" s="20">
        <f t="shared" si="0"/>
        <v>932.32752303618156</v>
      </c>
      <c r="C54" s="3"/>
    </row>
    <row r="55" spans="1:3">
      <c r="A55" t="s">
        <v>9</v>
      </c>
      <c r="B55" s="20">
        <f t="shared" si="0"/>
        <v>987.76660251225007</v>
      </c>
      <c r="C55" s="2"/>
    </row>
    <row r="56" spans="1:3">
      <c r="A56" s="13" t="s">
        <v>30</v>
      </c>
      <c r="B56" s="21">
        <f t="shared" si="0"/>
        <v>1046.5022612023965</v>
      </c>
      <c r="C56" s="14"/>
    </row>
    <row r="57" spans="1:3">
      <c r="A57" t="s">
        <v>10</v>
      </c>
      <c r="B57" s="20">
        <f t="shared" si="0"/>
        <v>1108.7305239074906</v>
      </c>
      <c r="C57" s="3"/>
    </row>
    <row r="58" spans="1:3">
      <c r="A58" t="s">
        <v>11</v>
      </c>
      <c r="B58" s="20">
        <f t="shared" si="0"/>
        <v>1174.6590716696326</v>
      </c>
      <c r="C58" s="2"/>
    </row>
    <row r="59" spans="1:3">
      <c r="A59" t="s">
        <v>12</v>
      </c>
      <c r="B59" s="20">
        <f t="shared" si="0"/>
        <v>1244.5079348883262</v>
      </c>
      <c r="C59" s="3"/>
    </row>
    <row r="60" spans="1:3">
      <c r="A60" t="s">
        <v>13</v>
      </c>
      <c r="B60" s="20">
        <f t="shared" si="0"/>
        <v>1318.5102276514824</v>
      </c>
      <c r="C60" s="2"/>
    </row>
    <row r="61" spans="1:3">
      <c r="A61" t="s">
        <v>14</v>
      </c>
      <c r="B61" s="20">
        <f t="shared" si="0"/>
        <v>1396.9129257320185</v>
      </c>
      <c r="C61" s="2"/>
    </row>
    <row r="62" spans="1:3">
      <c r="A62" t="s">
        <v>15</v>
      </c>
      <c r="B62" s="20">
        <f t="shared" si="0"/>
        <v>1479.9776908465408</v>
      </c>
      <c r="C62" s="3"/>
    </row>
    <row r="63" spans="1:3">
      <c r="A63" t="s">
        <v>16</v>
      </c>
      <c r="B63" s="20">
        <f t="shared" si="0"/>
        <v>1567.9817439270007</v>
      </c>
      <c r="C63" s="2"/>
    </row>
    <row r="64" spans="1:3">
      <c r="A64" t="s">
        <v>17</v>
      </c>
      <c r="B64" s="20">
        <f t="shared" si="0"/>
        <v>1661.2187903197844</v>
      </c>
      <c r="C64" s="3"/>
    </row>
    <row r="65" spans="1:3">
      <c r="A65" t="s">
        <v>5</v>
      </c>
      <c r="B65" s="20">
        <f t="shared" si="0"/>
        <v>1760.0000000000041</v>
      </c>
      <c r="C65" s="2"/>
    </row>
    <row r="66" spans="1:3">
      <c r="A66" t="s">
        <v>8</v>
      </c>
      <c r="B66" s="20">
        <f t="shared" si="0"/>
        <v>1864.655046072364</v>
      </c>
      <c r="C66" s="3"/>
    </row>
    <row r="67" spans="1:3">
      <c r="A67" t="s">
        <v>9</v>
      </c>
      <c r="B67" s="20">
        <f t="shared" si="0"/>
        <v>1975.5332050245011</v>
      </c>
      <c r="C67" s="2"/>
    </row>
    <row r="68" spans="1:3">
      <c r="A68" s="13" t="s">
        <v>31</v>
      </c>
      <c r="B68" s="21">
        <f t="shared" si="0"/>
        <v>2093.004522404794</v>
      </c>
      <c r="C68" s="14"/>
    </row>
    <row r="69" spans="1:3">
      <c r="A69" t="s">
        <v>10</v>
      </c>
      <c r="B69" s="20">
        <f t="shared" si="0"/>
        <v>2217.4610478149821</v>
      </c>
      <c r="C69" s="3"/>
    </row>
    <row r="70" spans="1:3">
      <c r="A70" t="s">
        <v>11</v>
      </c>
      <c r="B70" s="20">
        <f t="shared" si="0"/>
        <v>2349.318143339266</v>
      </c>
      <c r="C70" s="2"/>
    </row>
    <row r="71" spans="1:3">
      <c r="A71" t="s">
        <v>12</v>
      </c>
      <c r="B71" s="20">
        <f t="shared" ref="B71:B89" si="4">B70*2^(1/12)</f>
        <v>2489.0158697766533</v>
      </c>
      <c r="C71" s="3"/>
    </row>
    <row r="72" spans="1:3">
      <c r="A72" t="s">
        <v>13</v>
      </c>
      <c r="B72" s="20">
        <f t="shared" si="4"/>
        <v>2637.0204553029657</v>
      </c>
      <c r="C72" s="2"/>
    </row>
    <row r="73" spans="1:3">
      <c r="A73" t="s">
        <v>14</v>
      </c>
      <c r="B73" s="20">
        <f t="shared" si="4"/>
        <v>2793.8258514640379</v>
      </c>
      <c r="C73" s="2"/>
    </row>
    <row r="74" spans="1:3">
      <c r="A74" t="s">
        <v>15</v>
      </c>
      <c r="B74" s="20">
        <f t="shared" si="4"/>
        <v>2959.9553816930825</v>
      </c>
      <c r="C74" s="3"/>
    </row>
    <row r="75" spans="1:3">
      <c r="A75" t="s">
        <v>16</v>
      </c>
      <c r="B75" s="20">
        <f t="shared" si="4"/>
        <v>3135.9634878540023</v>
      </c>
      <c r="C75" s="2"/>
    </row>
    <row r="76" spans="1:3">
      <c r="A76" t="s">
        <v>17</v>
      </c>
      <c r="B76" s="20">
        <f t="shared" si="4"/>
        <v>3322.4375806395697</v>
      </c>
      <c r="C76" s="3"/>
    </row>
    <row r="77" spans="1:3">
      <c r="A77" t="s">
        <v>6</v>
      </c>
      <c r="B77" s="20">
        <f t="shared" si="4"/>
        <v>3520.0000000000091</v>
      </c>
      <c r="C77" s="2"/>
    </row>
    <row r="78" spans="1:3">
      <c r="A78" t="s">
        <v>8</v>
      </c>
      <c r="B78" s="20">
        <f t="shared" si="4"/>
        <v>3729.310092144729</v>
      </c>
      <c r="C78" s="3"/>
    </row>
    <row r="79" spans="1:3">
      <c r="A79" t="s">
        <v>9</v>
      </c>
      <c r="B79" s="20">
        <f t="shared" si="4"/>
        <v>3951.0664100490035</v>
      </c>
      <c r="C79" s="2"/>
    </row>
    <row r="80" spans="1:3">
      <c r="A80" s="13" t="s">
        <v>27</v>
      </c>
      <c r="B80" s="21">
        <f t="shared" si="4"/>
        <v>4186.0090448095898</v>
      </c>
      <c r="C80" s="14"/>
    </row>
    <row r="81" spans="1:3">
      <c r="A81" t="s">
        <v>10</v>
      </c>
      <c r="B81" s="20">
        <f t="shared" si="4"/>
        <v>4434.922095629966</v>
      </c>
      <c r="C81" s="3"/>
    </row>
    <row r="82" spans="1:3">
      <c r="A82" t="s">
        <v>11</v>
      </c>
      <c r="B82" s="20">
        <f t="shared" si="4"/>
        <v>4698.6362866785339</v>
      </c>
      <c r="C82" s="2"/>
    </row>
    <row r="83" spans="1:3">
      <c r="A83" t="s">
        <v>12</v>
      </c>
      <c r="B83" s="20">
        <f t="shared" si="4"/>
        <v>4978.0317395533084</v>
      </c>
      <c r="C83" s="3"/>
    </row>
    <row r="84" spans="1:3">
      <c r="A84" t="s">
        <v>13</v>
      </c>
      <c r="B84" s="20">
        <f t="shared" si="4"/>
        <v>5274.0409106059342</v>
      </c>
      <c r="C84" s="2"/>
    </row>
    <row r="85" spans="1:3">
      <c r="A85" t="s">
        <v>14</v>
      </c>
      <c r="B85" s="20">
        <f t="shared" si="4"/>
        <v>5587.6517029280785</v>
      </c>
      <c r="C85" s="2"/>
    </row>
    <row r="86" spans="1:3">
      <c r="A86" t="s">
        <v>15</v>
      </c>
      <c r="B86" s="20">
        <f t="shared" si="4"/>
        <v>5919.9107633861677</v>
      </c>
      <c r="C86" s="3"/>
    </row>
    <row r="87" spans="1:3">
      <c r="A87" t="s">
        <v>16</v>
      </c>
      <c r="B87" s="20">
        <f t="shared" si="4"/>
        <v>6271.9269757080074</v>
      </c>
      <c r="C87" s="2"/>
    </row>
    <row r="88" spans="1:3">
      <c r="A88" t="s">
        <v>17</v>
      </c>
      <c r="B88" s="20">
        <f t="shared" si="4"/>
        <v>6644.875161279142</v>
      </c>
      <c r="C88" s="3"/>
    </row>
    <row r="89" spans="1:3">
      <c r="A89" t="s">
        <v>26</v>
      </c>
      <c r="B89" s="20">
        <f t="shared" si="4"/>
        <v>7040.0000000000209</v>
      </c>
    </row>
    <row r="90" spans="1:3">
      <c r="C90" s="16"/>
    </row>
    <row r="91" spans="1:3">
      <c r="C91" s="16"/>
    </row>
    <row r="92" spans="1:3">
      <c r="C92" s="16"/>
    </row>
    <row r="93" spans="1:3">
      <c r="C93" s="16"/>
    </row>
    <row r="94" spans="1:3">
      <c r="C94" s="16"/>
    </row>
    <row r="95" spans="1:3">
      <c r="C95" s="16"/>
    </row>
    <row r="96" spans="1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32"/>
  <sheetViews>
    <sheetView topLeftCell="I7" workbookViewId="0">
      <selection activeCell="AD20" sqref="AD20:AD32"/>
    </sheetView>
  </sheetViews>
  <sheetFormatPr baseColWidth="10" defaultRowHeight="15"/>
  <cols>
    <col min="1" max="1" width="7.7109375" customWidth="1"/>
    <col min="2" max="2" width="11.42578125" style="5"/>
    <col min="4" max="4" width="10.42578125" customWidth="1"/>
    <col min="5" max="5" width="6.28515625" style="5" customWidth="1"/>
    <col min="6" max="6" width="14.140625" style="5" customWidth="1"/>
    <col min="8" max="8" width="6.7109375" customWidth="1"/>
    <col min="15" max="15" width="5.5703125" customWidth="1"/>
    <col min="16" max="16" width="11.42578125" style="5"/>
    <col min="17" max="17" width="7.140625" customWidth="1"/>
    <col min="18" max="18" width="7.85546875" customWidth="1"/>
    <col min="19" max="19" width="8.140625" customWidth="1"/>
    <col min="20" max="20" width="9.140625" customWidth="1"/>
    <col min="21" max="21" width="8.85546875" customWidth="1"/>
    <col min="26" max="26" width="8.28515625" customWidth="1"/>
    <col min="27" max="28" width="10.28515625" customWidth="1"/>
    <col min="29" max="29" width="10" customWidth="1"/>
  </cols>
  <sheetData>
    <row r="2" spans="1:21">
      <c r="B2" s="31" t="s">
        <v>74</v>
      </c>
      <c r="O2" s="31" t="s">
        <v>76</v>
      </c>
    </row>
    <row r="3" spans="1:21">
      <c r="A3" s="6" t="s">
        <v>37</v>
      </c>
      <c r="B3" s="6" t="s">
        <v>73</v>
      </c>
      <c r="C3" s="6" t="s">
        <v>73</v>
      </c>
      <c r="D3" s="6" t="s">
        <v>1</v>
      </c>
      <c r="E3" s="6" t="s">
        <v>7</v>
      </c>
      <c r="F3" s="6" t="s">
        <v>72</v>
      </c>
      <c r="G3" s="4" t="s">
        <v>36</v>
      </c>
      <c r="H3" s="4" t="s">
        <v>71</v>
      </c>
      <c r="O3" s="6" t="s">
        <v>37</v>
      </c>
      <c r="P3" s="6" t="s">
        <v>73</v>
      </c>
      <c r="Q3" s="6" t="s">
        <v>1</v>
      </c>
      <c r="R3" s="6" t="s">
        <v>7</v>
      </c>
      <c r="S3" s="6" t="s">
        <v>72</v>
      </c>
      <c r="T3" s="6" t="s">
        <v>36</v>
      </c>
      <c r="U3" s="6" t="s">
        <v>71</v>
      </c>
    </row>
    <row r="4" spans="1:21">
      <c r="A4" s="6">
        <v>0</v>
      </c>
      <c r="B4" s="6">
        <v>1</v>
      </c>
      <c r="C4" s="6">
        <v>1</v>
      </c>
      <c r="D4" s="30">
        <v>138.59131548843601</v>
      </c>
      <c r="E4" s="6" t="s">
        <v>10</v>
      </c>
      <c r="F4" s="32">
        <v>138.59131548843601</v>
      </c>
      <c r="G4" s="30">
        <f>1200*(LN(D4/F4)/LN(2))</f>
        <v>0</v>
      </c>
      <c r="H4" s="6" t="s">
        <v>61</v>
      </c>
      <c r="O4" s="6">
        <v>0</v>
      </c>
      <c r="P4" s="30">
        <v>1</v>
      </c>
      <c r="Q4" s="30">
        <v>138.59131548843601</v>
      </c>
      <c r="R4" s="6" t="s">
        <v>10</v>
      </c>
      <c r="S4" s="30">
        <v>138.59131548843601</v>
      </c>
      <c r="T4" s="30">
        <v>0</v>
      </c>
      <c r="U4" s="6" t="s">
        <v>61</v>
      </c>
    </row>
    <row r="5" spans="1:21">
      <c r="A5" s="6">
        <v>1</v>
      </c>
      <c r="B5" s="6" t="s">
        <v>38</v>
      </c>
      <c r="C5" s="32">
        <v>1.0534979423868314</v>
      </c>
      <c r="D5" s="30">
        <f>C5*138.591315488436</f>
        <v>146.00566569975152</v>
      </c>
      <c r="E5" s="6" t="s">
        <v>11</v>
      </c>
      <c r="F5" s="6">
        <v>146.83238395870384</v>
      </c>
      <c r="G5" s="30">
        <f t="shared" ref="G5:G26" si="0">1200*(LN(D5/F5)/LN(2))</f>
        <v>-9.7750043269382871</v>
      </c>
      <c r="H5" s="6" t="s">
        <v>62</v>
      </c>
      <c r="O5" s="6">
        <v>1</v>
      </c>
      <c r="P5" s="30">
        <v>1.0534979423868314</v>
      </c>
      <c r="Q5" s="30">
        <v>146.00566569975152</v>
      </c>
      <c r="R5" s="6" t="s">
        <v>11</v>
      </c>
      <c r="S5" s="30">
        <v>146.83238395870384</v>
      </c>
      <c r="T5" s="30">
        <v>-9.7750043269382871</v>
      </c>
      <c r="U5" s="6" t="s">
        <v>62</v>
      </c>
    </row>
    <row r="6" spans="1:21">
      <c r="A6" s="6">
        <v>2</v>
      </c>
      <c r="B6" s="6" t="s">
        <v>40</v>
      </c>
      <c r="C6" s="32">
        <v>1.0666666666666667</v>
      </c>
      <c r="D6" s="30">
        <f t="shared" ref="D6:D26" si="1">C6*138.591315488436</f>
        <v>147.83073652099841</v>
      </c>
      <c r="E6" s="6" t="s">
        <v>11</v>
      </c>
      <c r="F6" s="6">
        <v>146.83238395870384</v>
      </c>
      <c r="G6" s="30">
        <f t="shared" si="0"/>
        <v>11.731285269776601</v>
      </c>
      <c r="H6" s="6"/>
      <c r="O6" s="6">
        <v>2</v>
      </c>
      <c r="P6" s="30">
        <v>1.125</v>
      </c>
      <c r="Q6" s="30">
        <v>155.91522992449052</v>
      </c>
      <c r="R6" s="6" t="s">
        <v>12</v>
      </c>
      <c r="S6" s="30">
        <v>155.56349186104052</v>
      </c>
      <c r="T6" s="30">
        <v>3.9100017307736019</v>
      </c>
      <c r="U6" s="6" t="s">
        <v>63</v>
      </c>
    </row>
    <row r="7" spans="1:21">
      <c r="A7" s="6">
        <v>3</v>
      </c>
      <c r="B7" s="6" t="s">
        <v>41</v>
      </c>
      <c r="C7" s="32">
        <v>1.1111111111111112</v>
      </c>
      <c r="D7" s="30">
        <f t="shared" si="1"/>
        <v>153.99035054270669</v>
      </c>
      <c r="E7" s="6" t="s">
        <v>12</v>
      </c>
      <c r="F7" s="6">
        <v>155.56349186104052</v>
      </c>
      <c r="G7" s="30">
        <f t="shared" si="0"/>
        <v>-17.596287865940965</v>
      </c>
      <c r="H7" s="6"/>
      <c r="O7" s="6">
        <v>3</v>
      </c>
      <c r="P7" s="30">
        <v>1.1851851851851851</v>
      </c>
      <c r="Q7" s="30">
        <v>164.25637391222045</v>
      </c>
      <c r="R7" s="6" t="s">
        <v>13</v>
      </c>
      <c r="S7" s="30">
        <v>164.81377845643505</v>
      </c>
      <c r="T7" s="30">
        <v>-5.865002596163623</v>
      </c>
      <c r="U7" s="6" t="s">
        <v>64</v>
      </c>
    </row>
    <row r="8" spans="1:21">
      <c r="A8" s="6">
        <v>4</v>
      </c>
      <c r="B8" s="6" t="s">
        <v>42</v>
      </c>
      <c r="C8" s="32">
        <v>1.125</v>
      </c>
      <c r="D8" s="30">
        <f t="shared" si="1"/>
        <v>155.91522992449052</v>
      </c>
      <c r="E8" s="6" t="s">
        <v>12</v>
      </c>
      <c r="F8" s="6">
        <v>155.56349186104052</v>
      </c>
      <c r="G8" s="30">
        <f t="shared" si="0"/>
        <v>3.9100017307736019</v>
      </c>
      <c r="H8" s="6" t="s">
        <v>63</v>
      </c>
      <c r="O8" s="6">
        <v>4</v>
      </c>
      <c r="P8" s="30">
        <v>1.25</v>
      </c>
      <c r="Q8" s="30">
        <v>173.23914436054503</v>
      </c>
      <c r="R8" s="6" t="s">
        <v>14</v>
      </c>
      <c r="S8" s="30">
        <v>174.61411571650203</v>
      </c>
      <c r="T8" s="30">
        <v>-13.686286135166275</v>
      </c>
      <c r="U8" s="6" t="s">
        <v>16</v>
      </c>
    </row>
    <row r="9" spans="1:21">
      <c r="A9" s="6">
        <v>5</v>
      </c>
      <c r="B9" s="6" t="s">
        <v>43</v>
      </c>
      <c r="C9" s="32">
        <v>1.1851851851851851</v>
      </c>
      <c r="D9" s="30">
        <f t="shared" si="1"/>
        <v>164.25637391222045</v>
      </c>
      <c r="E9" s="6" t="s">
        <v>13</v>
      </c>
      <c r="F9" s="6">
        <v>164.81377845643505</v>
      </c>
      <c r="G9" s="30">
        <f t="shared" si="0"/>
        <v>-5.865002596163623</v>
      </c>
      <c r="H9" s="6" t="s">
        <v>64</v>
      </c>
      <c r="O9" s="6">
        <v>5</v>
      </c>
      <c r="P9" s="30">
        <v>1.3333333333333333</v>
      </c>
      <c r="Q9" s="30">
        <v>184.788420651248</v>
      </c>
      <c r="R9" s="6" t="s">
        <v>15</v>
      </c>
      <c r="S9" s="30">
        <v>184.99721135581729</v>
      </c>
      <c r="T9" s="30">
        <v>-1.9550008653887396</v>
      </c>
      <c r="U9" s="6" t="s">
        <v>65</v>
      </c>
    </row>
    <row r="10" spans="1:21">
      <c r="A10" s="6">
        <v>6</v>
      </c>
      <c r="B10" s="6" t="s">
        <v>44</v>
      </c>
      <c r="C10" s="32">
        <v>1.2</v>
      </c>
      <c r="D10" s="30">
        <f t="shared" si="1"/>
        <v>166.30957858612319</v>
      </c>
      <c r="E10" s="6" t="s">
        <v>13</v>
      </c>
      <c r="F10" s="6">
        <v>164.81377845643505</v>
      </c>
      <c r="G10" s="30">
        <f t="shared" si="0"/>
        <v>15.641287000551221</v>
      </c>
      <c r="H10" s="6"/>
      <c r="O10" s="6">
        <v>6</v>
      </c>
      <c r="P10" s="30">
        <v>1.40625</v>
      </c>
      <c r="Q10" s="30">
        <v>194.89403740561315</v>
      </c>
      <c r="R10" s="6" t="s">
        <v>16</v>
      </c>
      <c r="S10" s="30">
        <v>195.99771799087475</v>
      </c>
      <c r="T10" s="30">
        <v>-9.776284404391637</v>
      </c>
      <c r="U10" s="6" t="s">
        <v>66</v>
      </c>
    </row>
    <row r="11" spans="1:21">
      <c r="A11" s="6">
        <v>7</v>
      </c>
      <c r="B11" s="6" t="s">
        <v>45</v>
      </c>
      <c r="C11" s="32">
        <v>1.25</v>
      </c>
      <c r="D11" s="30">
        <f t="shared" si="1"/>
        <v>173.23914436054503</v>
      </c>
      <c r="E11" s="6" t="s">
        <v>14</v>
      </c>
      <c r="F11" s="6">
        <v>174.61411571650203</v>
      </c>
      <c r="G11" s="30">
        <f t="shared" si="0"/>
        <v>-13.686286135166275</v>
      </c>
      <c r="H11" s="6" t="s">
        <v>16</v>
      </c>
      <c r="O11" s="6">
        <v>7</v>
      </c>
      <c r="P11" s="30">
        <v>1.5</v>
      </c>
      <c r="Q11" s="30">
        <v>207.88697323265401</v>
      </c>
      <c r="R11" s="6" t="s">
        <v>17</v>
      </c>
      <c r="S11" s="30">
        <v>207.65234878997268</v>
      </c>
      <c r="T11" s="30">
        <v>1.9550008653860778</v>
      </c>
      <c r="U11" s="6" t="s">
        <v>67</v>
      </c>
    </row>
    <row r="12" spans="1:21">
      <c r="A12" s="6">
        <v>8</v>
      </c>
      <c r="B12" s="6" t="s">
        <v>46</v>
      </c>
      <c r="C12" s="32">
        <v>1.265625</v>
      </c>
      <c r="D12" s="30">
        <f t="shared" si="1"/>
        <v>175.40463366505182</v>
      </c>
      <c r="E12" s="6" t="s">
        <v>14</v>
      </c>
      <c r="F12" s="6">
        <v>174.61411571650203</v>
      </c>
      <c r="G12" s="30">
        <f t="shared" si="0"/>
        <v>7.8200034615484117</v>
      </c>
      <c r="H12" s="6"/>
      <c r="O12" s="6">
        <v>8</v>
      </c>
      <c r="P12" s="30">
        <v>1.5802469135802468</v>
      </c>
      <c r="Q12" s="30">
        <v>219.00849854962726</v>
      </c>
      <c r="R12" s="6" t="s">
        <v>18</v>
      </c>
      <c r="S12" s="30">
        <v>220.00000000000011</v>
      </c>
      <c r="T12" s="30">
        <v>-7.8200034615512344</v>
      </c>
      <c r="U12" s="6" t="s">
        <v>68</v>
      </c>
    </row>
    <row r="13" spans="1:21">
      <c r="A13" s="6">
        <v>9</v>
      </c>
      <c r="B13" s="6" t="s">
        <v>47</v>
      </c>
      <c r="C13" s="32">
        <v>1.3333333333333333</v>
      </c>
      <c r="D13" s="30">
        <f t="shared" si="1"/>
        <v>184.788420651248</v>
      </c>
      <c r="E13" s="6" t="s">
        <v>15</v>
      </c>
      <c r="F13" s="6">
        <v>184.99721135581729</v>
      </c>
      <c r="G13" s="30">
        <f t="shared" si="0"/>
        <v>-1.9550008653887396</v>
      </c>
      <c r="H13" s="6" t="s">
        <v>65</v>
      </c>
      <c r="O13" s="6">
        <v>9</v>
      </c>
      <c r="P13" s="30">
        <v>1.6666666666666667</v>
      </c>
      <c r="Q13" s="30">
        <v>230.98552581406003</v>
      </c>
      <c r="R13" s="6" t="s">
        <v>8</v>
      </c>
      <c r="S13" s="30">
        <v>233.08188075904508</v>
      </c>
      <c r="T13" s="30">
        <v>-15.641287000553888</v>
      </c>
      <c r="U13" s="6" t="s">
        <v>11</v>
      </c>
    </row>
    <row r="14" spans="1:21">
      <c r="A14" s="6">
        <v>10</v>
      </c>
      <c r="B14" s="6" t="s">
        <v>39</v>
      </c>
      <c r="C14" s="32">
        <v>1.35</v>
      </c>
      <c r="D14" s="30">
        <f t="shared" si="1"/>
        <v>187.09827590938863</v>
      </c>
      <c r="E14" s="6" t="s">
        <v>15</v>
      </c>
      <c r="F14" s="6">
        <v>184.99721135581729</v>
      </c>
      <c r="G14" s="30">
        <f t="shared" si="0"/>
        <v>19.55128873132632</v>
      </c>
      <c r="H14" s="6"/>
      <c r="O14" s="6">
        <v>10</v>
      </c>
      <c r="P14" s="30">
        <v>1.7777777777777777</v>
      </c>
      <c r="Q14" s="30">
        <v>246.38456086833068</v>
      </c>
      <c r="R14" s="6" t="s">
        <v>9</v>
      </c>
      <c r="S14" s="30">
        <v>246.94165062806221</v>
      </c>
      <c r="T14" s="30">
        <v>-3.9100017307764072</v>
      </c>
      <c r="U14" s="6" t="s">
        <v>69</v>
      </c>
    </row>
    <row r="15" spans="1:21">
      <c r="A15" s="6">
        <v>11</v>
      </c>
      <c r="B15" s="6" t="s">
        <v>48</v>
      </c>
      <c r="C15" s="32">
        <v>1.40625</v>
      </c>
      <c r="D15" s="30">
        <f t="shared" si="1"/>
        <v>194.89403740561315</v>
      </c>
      <c r="E15" s="6" t="s">
        <v>16</v>
      </c>
      <c r="F15" s="6">
        <v>195.99771799087475</v>
      </c>
      <c r="G15" s="30">
        <f t="shared" si="0"/>
        <v>-9.776284404391637</v>
      </c>
      <c r="H15" s="6" t="s">
        <v>66</v>
      </c>
      <c r="O15" s="6">
        <v>11</v>
      </c>
      <c r="P15" s="30">
        <v>1.875</v>
      </c>
      <c r="Q15" s="30">
        <v>259.85871654081751</v>
      </c>
      <c r="R15" s="6" t="s">
        <v>75</v>
      </c>
      <c r="S15" s="30">
        <v>261.62556530059879</v>
      </c>
      <c r="T15" s="30">
        <v>-11.731285269779359</v>
      </c>
      <c r="U15" s="6" t="s">
        <v>70</v>
      </c>
    </row>
    <row r="16" spans="1:21">
      <c r="A16" s="6">
        <v>12</v>
      </c>
      <c r="B16" s="6" t="s">
        <v>49</v>
      </c>
      <c r="C16" s="32">
        <v>1.482421875</v>
      </c>
      <c r="D16" s="30">
        <f t="shared" si="1"/>
        <v>205.45079776508385</v>
      </c>
      <c r="E16" s="6" t="s">
        <v>17</v>
      </c>
      <c r="F16" s="6">
        <v>207.65234878997268</v>
      </c>
      <c r="G16" s="30">
        <f t="shared" si="0"/>
        <v>-18.452709501441852</v>
      </c>
      <c r="H16" s="6"/>
      <c r="O16" s="6">
        <v>12</v>
      </c>
      <c r="P16" s="30">
        <v>2</v>
      </c>
      <c r="Q16" s="30">
        <v>277.18263097687202</v>
      </c>
      <c r="R16" s="6" t="s">
        <v>10</v>
      </c>
      <c r="S16" s="30">
        <v>277.1826309768723</v>
      </c>
      <c r="T16" s="30">
        <v>-1.7298503120600566E-12</v>
      </c>
      <c r="U16" s="6" t="s">
        <v>61</v>
      </c>
    </row>
    <row r="17" spans="1:30">
      <c r="A17" s="6">
        <v>13</v>
      </c>
      <c r="B17" s="6" t="s">
        <v>50</v>
      </c>
      <c r="C17" s="32">
        <v>1.5</v>
      </c>
      <c r="D17" s="30">
        <f t="shared" si="1"/>
        <v>207.88697323265401</v>
      </c>
      <c r="E17" s="6" t="s">
        <v>17</v>
      </c>
      <c r="F17" s="6">
        <v>207.65234878997268</v>
      </c>
      <c r="G17" s="30">
        <f t="shared" si="0"/>
        <v>1.9550008653860778</v>
      </c>
      <c r="H17" s="6" t="s">
        <v>67</v>
      </c>
      <c r="R17" s="33"/>
    </row>
    <row r="18" spans="1:30">
      <c r="A18" s="6">
        <v>14</v>
      </c>
      <c r="B18" s="6" t="s">
        <v>51</v>
      </c>
      <c r="C18" s="32">
        <v>1.5802469135802468</v>
      </c>
      <c r="D18" s="30">
        <f t="shared" si="1"/>
        <v>219.00849854962726</v>
      </c>
      <c r="E18" s="6" t="s">
        <v>2</v>
      </c>
      <c r="F18" s="6">
        <v>220.00000000000011</v>
      </c>
      <c r="G18" s="30">
        <f t="shared" si="0"/>
        <v>-7.8200034615512344</v>
      </c>
      <c r="H18" s="6" t="s">
        <v>68</v>
      </c>
      <c r="O18" s="34" t="s">
        <v>77</v>
      </c>
      <c r="W18" t="s">
        <v>133</v>
      </c>
    </row>
    <row r="19" spans="1:30">
      <c r="A19" s="6">
        <v>15</v>
      </c>
      <c r="B19" s="6" t="s">
        <v>52</v>
      </c>
      <c r="C19" s="32">
        <v>1.6</v>
      </c>
      <c r="D19" s="30">
        <f t="shared" si="1"/>
        <v>221.74610478149762</v>
      </c>
      <c r="E19" s="6" t="s">
        <v>2</v>
      </c>
      <c r="F19" s="6">
        <v>220.00000000000011</v>
      </c>
      <c r="G19" s="30">
        <f t="shared" si="0"/>
        <v>13.686286135163693</v>
      </c>
      <c r="H19" s="6"/>
      <c r="O19" s="6" t="s">
        <v>37</v>
      </c>
      <c r="P19" s="6" t="s">
        <v>73</v>
      </c>
      <c r="Q19" s="6" t="s">
        <v>1</v>
      </c>
      <c r="R19" s="6" t="s">
        <v>7</v>
      </c>
      <c r="S19" s="6" t="s">
        <v>72</v>
      </c>
      <c r="T19" s="6" t="s">
        <v>36</v>
      </c>
      <c r="U19" s="6" t="s">
        <v>71</v>
      </c>
      <c r="W19" s="6" t="s">
        <v>37</v>
      </c>
      <c r="X19" s="6" t="s">
        <v>73</v>
      </c>
      <c r="Y19" s="6" t="s">
        <v>1</v>
      </c>
      <c r="Z19" s="6" t="s">
        <v>7</v>
      </c>
      <c r="AA19" s="6" t="s">
        <v>72</v>
      </c>
      <c r="AB19" s="6" t="s">
        <v>36</v>
      </c>
      <c r="AC19" s="6" t="s">
        <v>71</v>
      </c>
      <c r="AD19" s="33" t="s">
        <v>134</v>
      </c>
    </row>
    <row r="20" spans="1:30">
      <c r="A20" s="6">
        <v>16</v>
      </c>
      <c r="B20" s="6" t="s">
        <v>53</v>
      </c>
      <c r="C20" s="32">
        <v>1.6666666666666667</v>
      </c>
      <c r="D20" s="30">
        <f t="shared" si="1"/>
        <v>230.98552581406003</v>
      </c>
      <c r="E20" s="6" t="s">
        <v>8</v>
      </c>
      <c r="F20" s="6">
        <v>233.08188075904508</v>
      </c>
      <c r="G20" s="30">
        <f t="shared" si="0"/>
        <v>-15.641287000553888</v>
      </c>
      <c r="H20" s="6" t="s">
        <v>11</v>
      </c>
      <c r="J20" s="5" t="s">
        <v>60</v>
      </c>
      <c r="K20">
        <v>138.59131548843601</v>
      </c>
      <c r="O20" s="6">
        <v>0</v>
      </c>
      <c r="P20" s="30">
        <v>1</v>
      </c>
      <c r="Q20" s="30">
        <f>130.812782650299*P20</f>
        <v>130.812782650299</v>
      </c>
      <c r="R20" s="6" t="s">
        <v>75</v>
      </c>
      <c r="S20" s="30">
        <v>130.812782650299</v>
      </c>
      <c r="T20" s="30">
        <f>1200*(LN(Q20/S20)/LN(2))</f>
        <v>0</v>
      </c>
      <c r="U20" s="6" t="s">
        <v>61</v>
      </c>
      <c r="W20" s="6">
        <v>0</v>
      </c>
      <c r="X20" s="30">
        <v>1</v>
      </c>
      <c r="Y20" s="30">
        <v>195.99771799087475</v>
      </c>
      <c r="Z20" s="6" t="s">
        <v>16</v>
      </c>
      <c r="AA20" s="30">
        <v>195.99771799087475</v>
      </c>
      <c r="AB20" s="30">
        <f>1200*(LN(Y20/AA20)/LN(2))</f>
        <v>0</v>
      </c>
      <c r="AC20" s="6" t="s">
        <v>61</v>
      </c>
      <c r="AD20" s="5">
        <v>0</v>
      </c>
    </row>
    <row r="21" spans="1:30">
      <c r="A21" s="6">
        <v>17</v>
      </c>
      <c r="B21" s="6" t="s">
        <v>54</v>
      </c>
      <c r="C21" s="32">
        <v>1.6875</v>
      </c>
      <c r="D21" s="30">
        <f t="shared" si="1"/>
        <v>233.87284488673578</v>
      </c>
      <c r="E21" s="6" t="s">
        <v>8</v>
      </c>
      <c r="F21" s="6">
        <v>233.08188075904508</v>
      </c>
      <c r="G21" s="30">
        <f t="shared" si="0"/>
        <v>5.8650025961611538</v>
      </c>
      <c r="H21" s="6"/>
      <c r="O21" s="6">
        <v>1</v>
      </c>
      <c r="P21" s="30">
        <v>1.0534979423868314</v>
      </c>
      <c r="Q21" s="30">
        <f t="shared" ref="Q21:Q32" si="2">130.812782650299*P21</f>
        <v>137.81099735998578</v>
      </c>
      <c r="R21" s="6" t="s">
        <v>10</v>
      </c>
      <c r="S21" s="30">
        <v>138.59131548843609</v>
      </c>
      <c r="T21" s="30">
        <f t="shared" ref="T21:T32" si="3">1200*(LN(Q21/S21)/LN(2))</f>
        <v>-9.7750043269419589</v>
      </c>
      <c r="U21" s="6" t="s">
        <v>62</v>
      </c>
      <c r="W21" s="6">
        <v>1</v>
      </c>
      <c r="X21" s="30">
        <v>1.0534979423868314</v>
      </c>
      <c r="Y21" s="30">
        <f>195.997717990875*X21</f>
        <v>206.48319261590126</v>
      </c>
      <c r="Z21" s="6" t="s">
        <v>17</v>
      </c>
      <c r="AA21" s="30">
        <v>207.65234878997268</v>
      </c>
      <c r="AB21" s="30">
        <f t="shared" ref="AB21:AB32" si="4">1200*(LN(Y21/AA21)/LN(2))</f>
        <v>-9.7750043269346136</v>
      </c>
      <c r="AC21" s="6" t="s">
        <v>62</v>
      </c>
      <c r="AD21" s="5">
        <v>90</v>
      </c>
    </row>
    <row r="22" spans="1:30">
      <c r="A22" s="6">
        <v>18</v>
      </c>
      <c r="B22" s="6" t="s">
        <v>55</v>
      </c>
      <c r="C22" s="32">
        <v>1.7777777777777777</v>
      </c>
      <c r="D22" s="30">
        <f t="shared" si="1"/>
        <v>246.38456086833068</v>
      </c>
      <c r="E22" s="6" t="s">
        <v>9</v>
      </c>
      <c r="F22" s="6">
        <v>246.94165062806221</v>
      </c>
      <c r="G22" s="30">
        <f t="shared" si="0"/>
        <v>-3.9100017307764072</v>
      </c>
      <c r="H22" s="6" t="s">
        <v>69</v>
      </c>
      <c r="O22" s="6">
        <v>2</v>
      </c>
      <c r="P22" s="30">
        <v>1.125</v>
      </c>
      <c r="Q22" s="30">
        <f t="shared" si="2"/>
        <v>147.16438048158636</v>
      </c>
      <c r="R22" s="6" t="s">
        <v>11</v>
      </c>
      <c r="S22" s="30">
        <v>146.83238395870384</v>
      </c>
      <c r="T22" s="30">
        <f t="shared" si="3"/>
        <v>3.9100017307697659</v>
      </c>
      <c r="U22" s="6" t="s">
        <v>63</v>
      </c>
      <c r="W22" s="6">
        <v>2</v>
      </c>
      <c r="X22" s="30">
        <v>1.125</v>
      </c>
      <c r="Y22" s="30">
        <f t="shared" ref="Y22:Y32" si="5">195.997717990875*X22</f>
        <v>220.49743273973439</v>
      </c>
      <c r="Z22" s="6" t="s">
        <v>2</v>
      </c>
      <c r="AA22" s="30">
        <v>220.00000000000011</v>
      </c>
      <c r="AB22" s="30">
        <f t="shared" si="4"/>
        <v>3.9100017307770538</v>
      </c>
      <c r="AC22" s="6" t="s">
        <v>63</v>
      </c>
      <c r="AD22" s="5">
        <v>204</v>
      </c>
    </row>
    <row r="23" spans="1:30">
      <c r="A23" s="6">
        <v>19</v>
      </c>
      <c r="B23" s="6" t="s">
        <v>56</v>
      </c>
      <c r="C23" s="32">
        <v>1.8</v>
      </c>
      <c r="D23" s="30">
        <f t="shared" si="1"/>
        <v>249.46436787918483</v>
      </c>
      <c r="E23" s="6" t="s">
        <v>9</v>
      </c>
      <c r="F23" s="6">
        <v>246.94165062806221</v>
      </c>
      <c r="G23" s="30">
        <f t="shared" si="0"/>
        <v>17.59628786593878</v>
      </c>
      <c r="H23" s="6"/>
      <c r="O23" s="6">
        <v>3</v>
      </c>
      <c r="P23" s="30">
        <v>1.1851851851851851</v>
      </c>
      <c r="Q23" s="30">
        <f t="shared" si="2"/>
        <v>155.037372029984</v>
      </c>
      <c r="R23" s="6" t="s">
        <v>12</v>
      </c>
      <c r="S23" s="30">
        <v>155.56349186104052</v>
      </c>
      <c r="T23" s="30">
        <f t="shared" si="3"/>
        <v>-5.8650025961670949</v>
      </c>
      <c r="U23" s="6" t="s">
        <v>64</v>
      </c>
      <c r="W23" s="6">
        <v>3</v>
      </c>
      <c r="X23" s="30">
        <v>1.1851851851851851</v>
      </c>
      <c r="Y23" s="30">
        <f t="shared" si="5"/>
        <v>232.29359169288887</v>
      </c>
      <c r="Z23" s="6" t="s">
        <v>8</v>
      </c>
      <c r="AA23" s="30">
        <v>233.08188075904508</v>
      </c>
      <c r="AB23" s="30">
        <f t="shared" si="4"/>
        <v>-5.865002596160152</v>
      </c>
      <c r="AC23" s="6" t="s">
        <v>64</v>
      </c>
      <c r="AD23" s="5">
        <v>294</v>
      </c>
    </row>
    <row r="24" spans="1:30">
      <c r="A24" s="6">
        <v>20</v>
      </c>
      <c r="B24" s="6" t="s">
        <v>57</v>
      </c>
      <c r="C24" s="32">
        <v>1.875</v>
      </c>
      <c r="D24" s="30">
        <f t="shared" si="1"/>
        <v>259.85871654081751</v>
      </c>
      <c r="E24" s="6" t="s">
        <v>28</v>
      </c>
      <c r="F24" s="6">
        <v>261.62556530059879</v>
      </c>
      <c r="G24" s="30">
        <f t="shared" si="0"/>
        <v>-11.731285269779359</v>
      </c>
      <c r="H24" s="6" t="s">
        <v>70</v>
      </c>
      <c r="O24" s="6">
        <v>4</v>
      </c>
      <c r="P24" s="30">
        <v>1.25</v>
      </c>
      <c r="Q24" s="30">
        <f t="shared" si="2"/>
        <v>163.51597831287376</v>
      </c>
      <c r="R24" s="6" t="s">
        <v>13</v>
      </c>
      <c r="S24" s="30">
        <v>164.81377845643505</v>
      </c>
      <c r="T24" s="30">
        <f t="shared" si="3"/>
        <v>-13.68628613517015</v>
      </c>
      <c r="U24" s="6" t="s">
        <v>16</v>
      </c>
      <c r="W24" s="6">
        <v>4</v>
      </c>
      <c r="X24" s="30">
        <v>1.25</v>
      </c>
      <c r="Y24" s="30">
        <f t="shared" si="5"/>
        <v>244.99714748859375</v>
      </c>
      <c r="Z24" s="6" t="s">
        <v>9</v>
      </c>
      <c r="AA24" s="30">
        <v>246.94165062806221</v>
      </c>
      <c r="AB24" s="30">
        <f t="shared" si="4"/>
        <v>-13.686286135163176</v>
      </c>
      <c r="AC24" s="6" t="s">
        <v>16</v>
      </c>
      <c r="AD24" s="5">
        <v>386</v>
      </c>
    </row>
    <row r="25" spans="1:30">
      <c r="A25" s="6">
        <v>21</v>
      </c>
      <c r="B25" s="6" t="s">
        <v>58</v>
      </c>
      <c r="C25" s="32">
        <v>1.8984375</v>
      </c>
      <c r="D25" s="30">
        <f t="shared" si="1"/>
        <v>263.10695049757771</v>
      </c>
      <c r="E25" s="6" t="s">
        <v>28</v>
      </c>
      <c r="F25" s="6">
        <v>261.62556530059879</v>
      </c>
      <c r="G25" s="30">
        <f t="shared" si="0"/>
        <v>9.7750043269352638</v>
      </c>
      <c r="H25" s="6"/>
      <c r="O25" s="6">
        <v>5</v>
      </c>
      <c r="P25" s="30">
        <v>1.3333333333333333</v>
      </c>
      <c r="Q25" s="30">
        <f t="shared" si="2"/>
        <v>174.417043533732</v>
      </c>
      <c r="R25" s="6" t="s">
        <v>14</v>
      </c>
      <c r="S25" s="30">
        <v>174.61411571650203</v>
      </c>
      <c r="T25" s="30">
        <f t="shared" si="3"/>
        <v>-1.9550008653923956</v>
      </c>
      <c r="U25" s="6" t="s">
        <v>65</v>
      </c>
      <c r="W25" s="6">
        <v>5</v>
      </c>
      <c r="X25" s="30">
        <v>1.3333333333333333</v>
      </c>
      <c r="Y25" s="30">
        <f t="shared" si="5"/>
        <v>261.3302906545</v>
      </c>
      <c r="Z25" s="6" t="s">
        <v>28</v>
      </c>
      <c r="AA25" s="30">
        <v>261.62556530059879</v>
      </c>
      <c r="AB25" s="30">
        <f t="shared" si="4"/>
        <v>-1.9550008653852757</v>
      </c>
      <c r="AC25" s="6" t="s">
        <v>65</v>
      </c>
      <c r="AD25" s="5">
        <v>498</v>
      </c>
    </row>
    <row r="26" spans="1:30">
      <c r="A26" s="6">
        <v>22</v>
      </c>
      <c r="B26" s="6" t="s">
        <v>59</v>
      </c>
      <c r="C26" s="32">
        <v>2</v>
      </c>
      <c r="D26" s="30">
        <f t="shared" si="1"/>
        <v>277.18263097687202</v>
      </c>
      <c r="E26" s="6" t="s">
        <v>10</v>
      </c>
      <c r="F26" s="6">
        <v>277.1826309768723</v>
      </c>
      <c r="G26" s="30">
        <f t="shared" si="0"/>
        <v>-1.7298503120600566E-12</v>
      </c>
      <c r="H26" s="6"/>
      <c r="O26" s="6">
        <v>6</v>
      </c>
      <c r="P26" s="30">
        <v>1.40625</v>
      </c>
      <c r="Q26" s="30">
        <f t="shared" si="2"/>
        <v>183.95547560198295</v>
      </c>
      <c r="R26" s="6" t="s">
        <v>15</v>
      </c>
      <c r="S26" s="30">
        <v>184.99721135581729</v>
      </c>
      <c r="T26" s="30">
        <f t="shared" si="3"/>
        <v>-9.7762844043955024</v>
      </c>
      <c r="U26" s="6" t="s">
        <v>66</v>
      </c>
      <c r="W26" s="6">
        <v>6</v>
      </c>
      <c r="X26" s="30">
        <v>1.40625</v>
      </c>
      <c r="Y26" s="30">
        <f t="shared" si="5"/>
        <v>275.62179092466795</v>
      </c>
      <c r="Z26" s="6" t="s">
        <v>10</v>
      </c>
      <c r="AA26" s="30">
        <v>277.1826309768723</v>
      </c>
      <c r="AB26" s="30">
        <f t="shared" si="4"/>
        <v>-9.776284404388738</v>
      </c>
      <c r="AC26" s="6" t="s">
        <v>66</v>
      </c>
      <c r="AD26" s="5">
        <v>590</v>
      </c>
    </row>
    <row r="27" spans="1:30">
      <c r="O27" s="6">
        <v>7</v>
      </c>
      <c r="P27" s="30">
        <v>1.5</v>
      </c>
      <c r="Q27" s="30">
        <f t="shared" si="2"/>
        <v>196.21917397544848</v>
      </c>
      <c r="R27" s="6" t="s">
        <v>16</v>
      </c>
      <c r="S27" s="30">
        <v>195.99771799087475</v>
      </c>
      <c r="T27" s="30">
        <f t="shared" si="3"/>
        <v>1.9550008653822382</v>
      </c>
      <c r="U27" s="6" t="s">
        <v>67</v>
      </c>
      <c r="W27" s="6">
        <v>7</v>
      </c>
      <c r="X27" s="30">
        <v>1.5</v>
      </c>
      <c r="Y27" s="30">
        <f t="shared" si="5"/>
        <v>293.9965769863125</v>
      </c>
      <c r="Z27" s="6" t="s">
        <v>11</v>
      </c>
      <c r="AA27" s="30">
        <v>293.6647679174078</v>
      </c>
      <c r="AB27" s="30">
        <f t="shared" si="4"/>
        <v>1.9550008653891495</v>
      </c>
      <c r="AC27" s="6" t="s">
        <v>67</v>
      </c>
      <c r="AD27" s="5">
        <v>702</v>
      </c>
    </row>
    <row r="28" spans="1:30">
      <c r="O28" s="6">
        <v>8</v>
      </c>
      <c r="P28" s="30">
        <v>1.5802469135802468</v>
      </c>
      <c r="Q28" s="30">
        <f t="shared" si="2"/>
        <v>206.71649603997867</v>
      </c>
      <c r="R28" s="6" t="s">
        <v>17</v>
      </c>
      <c r="S28" s="30">
        <v>207.65234878997268</v>
      </c>
      <c r="T28" s="30">
        <f t="shared" si="3"/>
        <v>-7.8200034615547107</v>
      </c>
      <c r="U28" s="6" t="s">
        <v>68</v>
      </c>
      <c r="W28" s="6">
        <v>8</v>
      </c>
      <c r="X28" s="30">
        <v>1.5802469135802468</v>
      </c>
      <c r="Y28" s="30">
        <f t="shared" si="5"/>
        <v>309.72478892385186</v>
      </c>
      <c r="Z28" s="6" t="s">
        <v>12</v>
      </c>
      <c r="AA28" s="30">
        <v>311.12698372208121</v>
      </c>
      <c r="AB28" s="30">
        <f t="shared" si="4"/>
        <v>-7.8200034615481462</v>
      </c>
      <c r="AC28" s="6" t="s">
        <v>68</v>
      </c>
      <c r="AD28" s="5">
        <v>792</v>
      </c>
    </row>
    <row r="29" spans="1:30">
      <c r="O29" s="6">
        <v>9</v>
      </c>
      <c r="P29" s="30">
        <v>1.6666666666666667</v>
      </c>
      <c r="Q29" s="30">
        <f t="shared" si="2"/>
        <v>218.021304417165</v>
      </c>
      <c r="R29" s="6" t="s">
        <v>18</v>
      </c>
      <c r="S29" s="30">
        <v>220.00000000000011</v>
      </c>
      <c r="T29" s="30">
        <f t="shared" si="3"/>
        <v>-15.641287000557767</v>
      </c>
      <c r="U29" s="6" t="s">
        <v>11</v>
      </c>
      <c r="W29" s="6">
        <v>9</v>
      </c>
      <c r="X29" s="30">
        <v>1.6666666666666667</v>
      </c>
      <c r="Y29" s="30">
        <f t="shared" si="5"/>
        <v>326.66286331812501</v>
      </c>
      <c r="Z29" s="6" t="s">
        <v>13</v>
      </c>
      <c r="AA29" s="30">
        <v>329.62755691287026</v>
      </c>
      <c r="AB29" s="30">
        <f t="shared" si="4"/>
        <v>-15.64128700055117</v>
      </c>
      <c r="AC29" s="6" t="s">
        <v>11</v>
      </c>
      <c r="AD29" s="5">
        <v>884</v>
      </c>
    </row>
    <row r="30" spans="1:30">
      <c r="O30" s="6">
        <v>10</v>
      </c>
      <c r="P30" s="30">
        <v>1.7777777777777777</v>
      </c>
      <c r="Q30" s="30">
        <f t="shared" si="2"/>
        <v>232.556058044976</v>
      </c>
      <c r="R30" s="6" t="s">
        <v>8</v>
      </c>
      <c r="S30" s="30">
        <v>233.08188075904508</v>
      </c>
      <c r="T30" s="30">
        <f t="shared" si="3"/>
        <v>-3.9100017307798742</v>
      </c>
      <c r="U30" s="6" t="s">
        <v>69</v>
      </c>
      <c r="W30" s="6">
        <v>10</v>
      </c>
      <c r="X30" s="30">
        <v>1.7777777777777777</v>
      </c>
      <c r="Y30" s="30">
        <f t="shared" si="5"/>
        <v>348.4403875393333</v>
      </c>
      <c r="Z30" s="6" t="s">
        <v>14</v>
      </c>
      <c r="AA30" s="30">
        <v>349.22823143300423</v>
      </c>
      <c r="AB30" s="30">
        <f t="shared" si="4"/>
        <v>-3.9100017307735175</v>
      </c>
      <c r="AC30" s="6" t="s">
        <v>69</v>
      </c>
      <c r="AD30" s="5">
        <v>996</v>
      </c>
    </row>
    <row r="31" spans="1:30">
      <c r="O31" s="6">
        <v>11</v>
      </c>
      <c r="P31" s="30">
        <v>1.875</v>
      </c>
      <c r="Q31" s="30">
        <f t="shared" si="2"/>
        <v>245.27396746931063</v>
      </c>
      <c r="R31" s="6" t="s">
        <v>9</v>
      </c>
      <c r="S31" s="30">
        <v>246.94165062806221</v>
      </c>
      <c r="T31" s="30">
        <f t="shared" si="3"/>
        <v>-11.731285269783037</v>
      </c>
      <c r="U31" s="6" t="s">
        <v>70</v>
      </c>
      <c r="W31" s="6">
        <v>11</v>
      </c>
      <c r="X31" s="30">
        <v>1.875</v>
      </c>
      <c r="Y31" s="30">
        <f t="shared" si="5"/>
        <v>367.49572123289062</v>
      </c>
      <c r="Z31" s="6" t="s">
        <v>15</v>
      </c>
      <c r="AA31" s="30">
        <v>369.9944227116348</v>
      </c>
      <c r="AB31" s="30">
        <f t="shared" si="4"/>
        <v>-11.731285269776459</v>
      </c>
      <c r="AC31" s="6" t="s">
        <v>70</v>
      </c>
      <c r="AD31" s="5">
        <v>1088</v>
      </c>
    </row>
    <row r="32" spans="1:30">
      <c r="O32" s="6">
        <v>12</v>
      </c>
      <c r="P32" s="30">
        <v>2</v>
      </c>
      <c r="Q32" s="30">
        <f t="shared" si="2"/>
        <v>261.625565300598</v>
      </c>
      <c r="R32" s="6" t="s">
        <v>75</v>
      </c>
      <c r="S32" s="30">
        <v>261.62556530059879</v>
      </c>
      <c r="T32" s="30">
        <f t="shared" si="3"/>
        <v>-5.1895509361801751E-12</v>
      </c>
      <c r="U32" s="6" t="s">
        <v>61</v>
      </c>
      <c r="W32" s="6">
        <v>12</v>
      </c>
      <c r="X32" s="30">
        <v>2</v>
      </c>
      <c r="Y32" s="30">
        <f t="shared" si="5"/>
        <v>391.99543598175001</v>
      </c>
      <c r="Z32" s="6" t="s">
        <v>16</v>
      </c>
      <c r="AA32" s="30">
        <v>391.99543598174972</v>
      </c>
      <c r="AB32" s="30">
        <f t="shared" si="4"/>
        <v>1.1532335413733699E-12</v>
      </c>
      <c r="AC32" s="6" t="s">
        <v>61</v>
      </c>
      <c r="AD32" s="5">
        <v>1200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E5" sqref="E5:E12"/>
    </sheetView>
  </sheetViews>
  <sheetFormatPr baseColWidth="10" defaultRowHeight="15"/>
  <cols>
    <col min="1" max="1" width="8.42578125" customWidth="1"/>
    <col min="2" max="2" width="14.7109375" customWidth="1"/>
    <col min="6" max="6" width="9.140625" customWidth="1"/>
    <col min="7" max="7" width="10.28515625" customWidth="1"/>
    <col min="8" max="8" width="17.7109375" customWidth="1"/>
  </cols>
  <sheetData>
    <row r="1" spans="1:13">
      <c r="A1" t="s">
        <v>100</v>
      </c>
    </row>
    <row r="3" spans="1:13">
      <c r="A3" s="4" t="s">
        <v>78</v>
      </c>
      <c r="B3" s="6" t="s">
        <v>1</v>
      </c>
      <c r="C3" s="4"/>
      <c r="D3" s="36" t="s">
        <v>98</v>
      </c>
      <c r="E3" s="38"/>
      <c r="F3" s="36" t="s">
        <v>97</v>
      </c>
      <c r="G3" s="38"/>
    </row>
    <row r="4" spans="1:13">
      <c r="A4" s="6"/>
      <c r="B4" s="6" t="s">
        <v>85</v>
      </c>
      <c r="C4" s="6" t="s">
        <v>86</v>
      </c>
      <c r="D4" s="37" t="s">
        <v>36</v>
      </c>
      <c r="E4" s="9" t="s">
        <v>92</v>
      </c>
      <c r="F4" s="37" t="s">
        <v>95</v>
      </c>
      <c r="G4" s="37" t="s">
        <v>96</v>
      </c>
      <c r="H4" s="9" t="s">
        <v>99</v>
      </c>
      <c r="K4" s="6" t="s">
        <v>91</v>
      </c>
      <c r="L4" s="6" t="s">
        <v>93</v>
      </c>
      <c r="M4" s="6" t="s">
        <v>94</v>
      </c>
    </row>
    <row r="5" spans="1:13">
      <c r="A5" s="6" t="s">
        <v>68</v>
      </c>
      <c r="B5" s="6">
        <v>294.7</v>
      </c>
      <c r="C5" s="30">
        <v>293.6647679174078</v>
      </c>
      <c r="D5" s="30">
        <f>1200*(LN(B5/C5)/LN(2))</f>
        <v>6.092244054372375</v>
      </c>
      <c r="E5" s="30">
        <f>D5-6.09</f>
        <v>2.2440543723751816E-3</v>
      </c>
      <c r="F5" s="30">
        <v>6.09</v>
      </c>
      <c r="G5" s="6">
        <v>15.47</v>
      </c>
      <c r="H5" s="4"/>
      <c r="J5" s="41" t="s">
        <v>68</v>
      </c>
      <c r="K5" s="6">
        <v>0</v>
      </c>
      <c r="L5" s="30">
        <f>K5+6.09</f>
        <v>6.09</v>
      </c>
      <c r="M5" s="30">
        <f>K5+15.47</f>
        <v>15.47</v>
      </c>
    </row>
    <row r="6" spans="1:13">
      <c r="A6" s="6" t="s">
        <v>79</v>
      </c>
      <c r="B6" s="6">
        <v>333.3</v>
      </c>
      <c r="C6" s="30">
        <v>329.62755691287026</v>
      </c>
      <c r="D6" s="30">
        <f>1200*(LN(B6/C6)/LN(2))</f>
        <v>19.181352437869798</v>
      </c>
      <c r="E6" s="30">
        <f>D6-6.09</f>
        <v>13.091352437869798</v>
      </c>
      <c r="F6" s="30">
        <v>10.000001730769766</v>
      </c>
      <c r="G6" s="6">
        <v>19.38</v>
      </c>
      <c r="H6" s="30">
        <f>1200*LN(B6/B5)/LN(2)</f>
        <v>213.0891083834978</v>
      </c>
      <c r="J6" s="41" t="s">
        <v>87</v>
      </c>
      <c r="K6" s="30">
        <v>-9.7750043269419589</v>
      </c>
      <c r="L6" s="30">
        <f t="shared" ref="L6:L17" si="0">K6+6.09</f>
        <v>-3.685004326941959</v>
      </c>
      <c r="M6" s="30">
        <f t="shared" ref="M6:M17" si="1">K6+15.47</f>
        <v>5.6949956730580418</v>
      </c>
    </row>
    <row r="7" spans="1:13">
      <c r="A7" s="6" t="s">
        <v>80</v>
      </c>
      <c r="B7" s="6">
        <v>369.2</v>
      </c>
      <c r="C7" s="30">
        <v>369.9944227116348</v>
      </c>
      <c r="D7" s="30">
        <f t="shared" ref="D7:D12" si="2">1200*(LN(B7/C7)/LN(2))</f>
        <v>-3.7211649194991319</v>
      </c>
      <c r="E7" s="30">
        <f t="shared" ref="E7:E12" si="3">D7-6.09</f>
        <v>-9.8111649194991308</v>
      </c>
      <c r="F7" s="30">
        <v>-7.5962861351701498</v>
      </c>
      <c r="G7" s="6">
        <v>1.78</v>
      </c>
      <c r="H7" s="30">
        <f t="shared" ref="H7:H12" si="4">1200*LN(B7/B6)/LN(2)</f>
        <v>177.09748264263123</v>
      </c>
      <c r="J7" s="41" t="s">
        <v>79</v>
      </c>
      <c r="K7" s="30">
        <v>3.9100017307697659</v>
      </c>
      <c r="L7" s="30">
        <f t="shared" si="0"/>
        <v>10.000001730769766</v>
      </c>
      <c r="M7" s="30">
        <f t="shared" si="1"/>
        <v>19.380001730769767</v>
      </c>
    </row>
    <row r="8" spans="1:13">
      <c r="A8" s="6" t="s">
        <v>81</v>
      </c>
      <c r="B8" s="6">
        <v>417.4</v>
      </c>
      <c r="C8" s="30">
        <v>415.30469757994558</v>
      </c>
      <c r="D8" s="30">
        <f t="shared" si="2"/>
        <v>8.7124920973735733</v>
      </c>
      <c r="E8" s="30">
        <f t="shared" si="3"/>
        <v>2.6224920973735735</v>
      </c>
      <c r="F8" s="30">
        <v>-3.6862844043955025</v>
      </c>
      <c r="G8" s="6">
        <v>5.69</v>
      </c>
      <c r="H8" s="30">
        <f t="shared" si="4"/>
        <v>212.43365701687284</v>
      </c>
      <c r="J8" s="41" t="s">
        <v>88</v>
      </c>
      <c r="K8" s="30">
        <v>-5.8650025961670949</v>
      </c>
      <c r="L8" s="30">
        <f t="shared" si="0"/>
        <v>0.22499740383290501</v>
      </c>
      <c r="M8" s="30">
        <f t="shared" si="1"/>
        <v>9.6049974038329058</v>
      </c>
    </row>
    <row r="9" spans="1:13">
      <c r="A9" s="6" t="s">
        <v>82</v>
      </c>
      <c r="B9" s="6">
        <v>440.3</v>
      </c>
      <c r="C9" s="30">
        <v>440.00000000000051</v>
      </c>
      <c r="D9" s="30">
        <f t="shared" si="2"/>
        <v>1.1799846298437737</v>
      </c>
      <c r="E9" s="30">
        <f t="shared" si="3"/>
        <v>-4.9100153701562261</v>
      </c>
      <c r="F9" s="30">
        <v>8.0450008653822387</v>
      </c>
      <c r="G9" s="6">
        <v>17.43</v>
      </c>
      <c r="H9" s="30">
        <f t="shared" si="4"/>
        <v>92.467492532469905</v>
      </c>
      <c r="J9" s="41" t="s">
        <v>80</v>
      </c>
      <c r="K9" s="30">
        <v>-13.68628613517015</v>
      </c>
      <c r="L9" s="30">
        <f t="shared" si="0"/>
        <v>-7.5962861351701498</v>
      </c>
      <c r="M9" s="30">
        <f t="shared" si="1"/>
        <v>1.7837138648298509</v>
      </c>
    </row>
    <row r="10" spans="1:13">
      <c r="A10" s="6" t="s">
        <v>83</v>
      </c>
      <c r="B10" s="6">
        <v>494.8</v>
      </c>
      <c r="C10" s="30">
        <v>493.88330125612475</v>
      </c>
      <c r="D10" s="30">
        <f t="shared" si="2"/>
        <v>3.2103718772149472</v>
      </c>
      <c r="E10" s="30">
        <f t="shared" si="3"/>
        <v>-2.8796281227850526</v>
      </c>
      <c r="F10" s="30">
        <v>-9.5512870005577675</v>
      </c>
      <c r="G10" s="6">
        <v>-0.17</v>
      </c>
      <c r="H10" s="30">
        <f t="shared" si="4"/>
        <v>202.03038724737155</v>
      </c>
      <c r="J10" s="41" t="s">
        <v>64</v>
      </c>
      <c r="K10" s="30">
        <v>-1.9550008653923956</v>
      </c>
      <c r="L10" s="30">
        <f t="shared" si="0"/>
        <v>4.1349991346076038</v>
      </c>
      <c r="M10" s="30">
        <f t="shared" si="1"/>
        <v>13.514999134607605</v>
      </c>
    </row>
    <row r="11" spans="1:13">
      <c r="A11" s="6" t="s">
        <v>84</v>
      </c>
      <c r="B11" s="6">
        <v>558.1</v>
      </c>
      <c r="C11" s="30">
        <v>554.36526195374495</v>
      </c>
      <c r="D11" s="30">
        <f t="shared" si="2"/>
        <v>11.62414716598677</v>
      </c>
      <c r="E11" s="30">
        <f t="shared" si="3"/>
        <v>5.53414716598677</v>
      </c>
      <c r="F11" s="30">
        <v>-5.6412852697830367</v>
      </c>
      <c r="G11" s="6">
        <v>3.74</v>
      </c>
      <c r="H11" s="30">
        <f t="shared" si="4"/>
        <v>208.41377528877152</v>
      </c>
      <c r="J11" s="41" t="s">
        <v>81</v>
      </c>
      <c r="K11" s="30">
        <v>-9.7762844043955024</v>
      </c>
      <c r="L11" s="30">
        <f t="shared" si="0"/>
        <v>-3.6862844043955025</v>
      </c>
      <c r="M11" s="30">
        <f t="shared" si="1"/>
        <v>5.6937155956044982</v>
      </c>
    </row>
    <row r="12" spans="1:13">
      <c r="A12" s="6" t="s">
        <v>68</v>
      </c>
      <c r="B12" s="6">
        <v>592.6</v>
      </c>
      <c r="C12" s="30">
        <v>587.32953583481594</v>
      </c>
      <c r="D12" s="30">
        <f t="shared" si="2"/>
        <v>15.466123059110215</v>
      </c>
      <c r="E12" s="30">
        <f t="shared" si="3"/>
        <v>9.3761230591102152</v>
      </c>
      <c r="F12" s="30">
        <v>6.0899999999948102</v>
      </c>
      <c r="G12" s="6">
        <v>15.47</v>
      </c>
      <c r="H12" s="30">
        <f t="shared" si="4"/>
        <v>103.84197589312336</v>
      </c>
      <c r="J12" s="41" t="s">
        <v>82</v>
      </c>
      <c r="K12" s="30">
        <v>1.9550008653822382</v>
      </c>
      <c r="L12" s="30">
        <f t="shared" si="0"/>
        <v>8.0450008653822387</v>
      </c>
      <c r="M12" s="30">
        <f t="shared" si="1"/>
        <v>17.425000865382238</v>
      </c>
    </row>
    <row r="13" spans="1:13">
      <c r="A13" s="39"/>
      <c r="B13" s="16"/>
      <c r="C13" s="40"/>
      <c r="D13" s="16"/>
      <c r="E13" s="16"/>
      <c r="F13" s="16"/>
      <c r="G13" s="16"/>
      <c r="H13" s="1"/>
      <c r="J13" s="41" t="s">
        <v>89</v>
      </c>
      <c r="K13" s="30">
        <v>-7.8200034615547107</v>
      </c>
      <c r="L13" s="30">
        <f t="shared" si="0"/>
        <v>-1.7300034615547109</v>
      </c>
      <c r="M13" s="30">
        <f t="shared" si="1"/>
        <v>7.6499965384452899</v>
      </c>
    </row>
    <row r="14" spans="1:13">
      <c r="A14" s="39"/>
      <c r="B14" s="16"/>
      <c r="C14" s="40"/>
      <c r="D14" s="16"/>
      <c r="E14" s="16"/>
      <c r="F14" s="16"/>
      <c r="G14" s="16"/>
      <c r="J14" s="41" t="s">
        <v>83</v>
      </c>
      <c r="K14" s="30">
        <v>-15.641287000557767</v>
      </c>
      <c r="L14" s="30">
        <f t="shared" si="0"/>
        <v>-9.5512870005577675</v>
      </c>
      <c r="M14" s="30">
        <f t="shared" si="1"/>
        <v>-0.17128700055776669</v>
      </c>
    </row>
    <row r="15" spans="1:13">
      <c r="A15" s="39"/>
      <c r="B15" s="16"/>
      <c r="C15" s="40"/>
      <c r="D15" s="16"/>
      <c r="E15" s="16"/>
      <c r="F15" s="16"/>
      <c r="G15" s="16"/>
      <c r="J15" s="41" t="s">
        <v>90</v>
      </c>
      <c r="K15" s="30">
        <v>-3.9100017307798742</v>
      </c>
      <c r="L15" s="30">
        <f t="shared" si="0"/>
        <v>2.1799982692201256</v>
      </c>
      <c r="M15" s="30">
        <f t="shared" si="1"/>
        <v>11.559998269220127</v>
      </c>
    </row>
    <row r="16" spans="1:13">
      <c r="A16" s="39"/>
      <c r="B16" s="16"/>
      <c r="C16" s="40"/>
      <c r="D16" s="16"/>
      <c r="E16" s="16"/>
      <c r="F16" s="16"/>
      <c r="G16" s="16"/>
      <c r="J16" s="41" t="s">
        <v>84</v>
      </c>
      <c r="K16" s="30">
        <v>-11.731285269783037</v>
      </c>
      <c r="L16" s="30">
        <f t="shared" si="0"/>
        <v>-5.6412852697830367</v>
      </c>
      <c r="M16" s="30">
        <f t="shared" si="1"/>
        <v>3.7387147302169641</v>
      </c>
    </row>
    <row r="17" spans="1:14">
      <c r="A17" s="39"/>
      <c r="B17" s="16"/>
      <c r="C17" s="40"/>
      <c r="D17" s="16"/>
      <c r="E17" s="16"/>
      <c r="F17" s="16"/>
      <c r="G17" s="16"/>
      <c r="J17" s="41" t="s">
        <v>68</v>
      </c>
      <c r="K17" s="30">
        <v>-5.1895509361801751E-12</v>
      </c>
      <c r="L17" s="30">
        <f t="shared" si="0"/>
        <v>6.0899999999948102</v>
      </c>
      <c r="M17" s="30">
        <f t="shared" si="1"/>
        <v>15.469999999994812</v>
      </c>
    </row>
    <row r="18" spans="1:14">
      <c r="A18" s="39"/>
      <c r="B18" s="16"/>
      <c r="C18" s="40"/>
      <c r="D18" s="16"/>
      <c r="E18" s="16"/>
      <c r="F18" s="16"/>
      <c r="G18" s="16"/>
    </row>
    <row r="19" spans="1:14">
      <c r="A19" s="39"/>
      <c r="B19" s="16"/>
      <c r="C19" s="40"/>
      <c r="D19" s="16"/>
      <c r="E19" s="16"/>
      <c r="F19" s="16"/>
      <c r="G19" s="16"/>
      <c r="H19" s="5" t="s">
        <v>73</v>
      </c>
      <c r="I19" s="5" t="s">
        <v>108</v>
      </c>
      <c r="J19" s="45" t="s">
        <v>91</v>
      </c>
      <c r="K19" s="45" t="s">
        <v>109</v>
      </c>
      <c r="L19" s="9" t="s">
        <v>110</v>
      </c>
      <c r="M19" s="49" t="s">
        <v>86</v>
      </c>
      <c r="N19" s="49" t="s">
        <v>109</v>
      </c>
    </row>
    <row r="20" spans="1:14">
      <c r="H20" s="6" t="s">
        <v>101</v>
      </c>
      <c r="I20" s="30">
        <v>213.0891083834978</v>
      </c>
      <c r="J20" s="46">
        <v>204</v>
      </c>
      <c r="K20" s="48">
        <f>I20-J20</f>
        <v>9.0891083834978019</v>
      </c>
      <c r="L20" s="42">
        <f>I20</f>
        <v>213.0891083834978</v>
      </c>
      <c r="M20" s="49">
        <v>200</v>
      </c>
      <c r="N20" s="50">
        <f>I20-M20</f>
        <v>13.089108383497802</v>
      </c>
    </row>
    <row r="21" spans="1:14">
      <c r="H21" s="6" t="s">
        <v>102</v>
      </c>
      <c r="I21" s="30">
        <v>177.09748264263123</v>
      </c>
      <c r="J21" s="46">
        <v>204</v>
      </c>
      <c r="K21" s="48">
        <f t="shared" ref="K21:K26" si="5">I21-J21</f>
        <v>-26.902517357368765</v>
      </c>
      <c r="L21" s="42">
        <f>L20+I21</f>
        <v>390.18659102612901</v>
      </c>
      <c r="M21" s="49">
        <v>200</v>
      </c>
      <c r="N21" s="50">
        <f t="shared" ref="N21:N26" si="6">I21-M21</f>
        <v>-22.902517357368765</v>
      </c>
    </row>
    <row r="22" spans="1:14">
      <c r="H22" s="6" t="s">
        <v>103</v>
      </c>
      <c r="I22" s="30">
        <v>212.43365701687284</v>
      </c>
      <c r="J22" s="46">
        <v>204</v>
      </c>
      <c r="K22" s="48">
        <f t="shared" si="5"/>
        <v>8.4336570168728429</v>
      </c>
      <c r="L22" s="42">
        <f t="shared" ref="L22:L26" si="7">L21+I22</f>
        <v>602.62024804300188</v>
      </c>
      <c r="M22" s="49">
        <v>200</v>
      </c>
      <c r="N22" s="50">
        <f t="shared" si="6"/>
        <v>12.433657016872843</v>
      </c>
    </row>
    <row r="23" spans="1:14">
      <c r="H23" s="6" t="s">
        <v>104</v>
      </c>
      <c r="I23" s="30">
        <v>92.467492532469905</v>
      </c>
      <c r="J23" s="46">
        <v>90</v>
      </c>
      <c r="K23" s="48">
        <f t="shared" si="5"/>
        <v>2.4674925324699046</v>
      </c>
      <c r="L23" s="42">
        <f t="shared" si="7"/>
        <v>695.0877405754718</v>
      </c>
      <c r="M23" s="49">
        <v>100</v>
      </c>
      <c r="N23" s="50">
        <f t="shared" si="6"/>
        <v>-7.5325074675300954</v>
      </c>
    </row>
    <row r="24" spans="1:14">
      <c r="H24" s="6" t="s">
        <v>105</v>
      </c>
      <c r="I24" s="30">
        <v>202.03038724737155</v>
      </c>
      <c r="J24" s="46">
        <v>204</v>
      </c>
      <c r="K24" s="48">
        <f t="shared" si="5"/>
        <v>-1.9696127526284499</v>
      </c>
      <c r="L24" s="42">
        <f t="shared" si="7"/>
        <v>897.11812782284335</v>
      </c>
      <c r="M24" s="49">
        <v>200</v>
      </c>
      <c r="N24" s="50">
        <f t="shared" si="6"/>
        <v>2.0303872473715501</v>
      </c>
    </row>
    <row r="25" spans="1:14">
      <c r="H25" s="6" t="s">
        <v>106</v>
      </c>
      <c r="I25" s="30">
        <v>208.41377528877152</v>
      </c>
      <c r="J25" s="46">
        <v>204</v>
      </c>
      <c r="K25" s="48">
        <f t="shared" si="5"/>
        <v>4.413775288771518</v>
      </c>
      <c r="L25" s="42">
        <f t="shared" si="7"/>
        <v>1105.5319031116148</v>
      </c>
      <c r="M25" s="49">
        <v>200</v>
      </c>
      <c r="N25" s="50">
        <f t="shared" si="6"/>
        <v>8.413775288771518</v>
      </c>
    </row>
    <row r="26" spans="1:14">
      <c r="H26" s="6" t="s">
        <v>107</v>
      </c>
      <c r="I26" s="30">
        <v>103.84197589312336</v>
      </c>
      <c r="J26" s="46">
        <v>90</v>
      </c>
      <c r="K26" s="48">
        <f t="shared" si="5"/>
        <v>13.841975893123362</v>
      </c>
      <c r="L26" s="42">
        <f t="shared" si="7"/>
        <v>1209.3738790047382</v>
      </c>
      <c r="M26" s="49">
        <v>100</v>
      </c>
      <c r="N26" s="50">
        <f t="shared" si="6"/>
        <v>3.8419758931233616</v>
      </c>
    </row>
    <row r="27" spans="1:14">
      <c r="H27" s="5"/>
      <c r="I27" s="35">
        <f>SUM(I20:I26)</f>
        <v>1209.3738790047382</v>
      </c>
      <c r="J27" s="5"/>
    </row>
    <row r="28" spans="1:14">
      <c r="I28" s="5"/>
      <c r="J28" s="5"/>
    </row>
    <row r="29" spans="1:14">
      <c r="I29" s="39"/>
      <c r="J29" s="43"/>
    </row>
    <row r="30" spans="1:14">
      <c r="I30" s="39"/>
      <c r="J30" s="35"/>
    </row>
    <row r="31" spans="1:14">
      <c r="I31" s="39"/>
      <c r="J31" s="35"/>
    </row>
    <row r="32" spans="1:14">
      <c r="I32" s="39"/>
      <c r="J32" s="35"/>
    </row>
    <row r="33" spans="9:10">
      <c r="I33" s="39"/>
      <c r="J33" s="35"/>
    </row>
    <row r="34" spans="9:10">
      <c r="I34" s="39"/>
      <c r="J34" s="35"/>
    </row>
    <row r="35" spans="9:10">
      <c r="I35" s="39"/>
      <c r="J35" s="35"/>
    </row>
    <row r="36" spans="9:10">
      <c r="I36" s="39"/>
      <c r="J36" s="35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E17" sqref="E17"/>
    </sheetView>
  </sheetViews>
  <sheetFormatPr baseColWidth="10" defaultRowHeight="15"/>
  <cols>
    <col min="7" max="7" width="13.7109375" customWidth="1"/>
    <col min="9" max="9" width="11.5703125" bestFit="1" customWidth="1"/>
  </cols>
  <sheetData>
    <row r="1" spans="1:13">
      <c r="A1" t="s">
        <v>111</v>
      </c>
    </row>
    <row r="2" spans="1:13">
      <c r="F2" t="s">
        <v>112</v>
      </c>
    </row>
    <row r="3" spans="1:13">
      <c r="B3" t="s">
        <v>114</v>
      </c>
      <c r="C3" t="s">
        <v>115</v>
      </c>
      <c r="D3" s="51" t="s">
        <v>116</v>
      </c>
      <c r="E3" s="5" t="s">
        <v>73</v>
      </c>
      <c r="F3" s="5" t="s">
        <v>19</v>
      </c>
      <c r="G3" s="5" t="s">
        <v>129</v>
      </c>
      <c r="H3" s="5" t="s">
        <v>7</v>
      </c>
      <c r="I3" s="5" t="s">
        <v>86</v>
      </c>
      <c r="J3" s="5" t="s">
        <v>117</v>
      </c>
      <c r="M3" s="5"/>
    </row>
    <row r="4" spans="1:13">
      <c r="A4" s="41" t="s">
        <v>119</v>
      </c>
      <c r="B4" s="5">
        <v>12.54</v>
      </c>
      <c r="C4" s="5">
        <f>(12.54-2.15)-(B4-2.15)</f>
        <v>0</v>
      </c>
      <c r="D4" s="5">
        <f xml:space="preserve"> (12.49-2.22)-C4</f>
        <v>10.27</v>
      </c>
      <c r="E4" s="44">
        <f>10.27/D4</f>
        <v>1</v>
      </c>
      <c r="F4" s="35">
        <f>1200*LN(E4)/LN(2)</f>
        <v>0</v>
      </c>
      <c r="G4" s="20">
        <v>391.99543598174972</v>
      </c>
      <c r="H4" s="5" t="s">
        <v>16</v>
      </c>
      <c r="I4" s="20">
        <v>391.99543598174972</v>
      </c>
      <c r="J4" s="35">
        <f>1200*LN(I4/G4)/LN(2)</f>
        <v>0</v>
      </c>
    </row>
    <row r="5" spans="1:13">
      <c r="A5">
        <v>1</v>
      </c>
      <c r="B5" s="5">
        <v>11.98</v>
      </c>
      <c r="C5" s="5">
        <f t="shared" ref="C5:C17" si="0">(12.54-2.15)-(B5-2.15)</f>
        <v>0.55999999999999872</v>
      </c>
      <c r="D5" s="5">
        <f t="shared" ref="D5:D17" si="1" xml:space="preserve"> (12.49-2.22)-C5</f>
        <v>9.7100000000000009</v>
      </c>
      <c r="E5" s="44">
        <f t="shared" ref="E5:E17" si="2">10.27/D5</f>
        <v>1.0576725025746652</v>
      </c>
      <c r="F5" s="35">
        <f t="shared" ref="F5:F17" si="3">1200*LN(E5)/LN(2)</f>
        <v>97.071577078803188</v>
      </c>
      <c r="G5" s="20">
        <f>391.99543598175*E5</f>
        <v>414.60279377266448</v>
      </c>
      <c r="H5" s="5" t="s">
        <v>17</v>
      </c>
      <c r="I5" s="20">
        <v>415.30469757994558</v>
      </c>
      <c r="J5" s="35">
        <f t="shared" ref="J5:J17" si="4">1200*LN(I5/G5)/LN(2)</f>
        <v>2.928422921195585</v>
      </c>
    </row>
    <row r="6" spans="1:13">
      <c r="A6">
        <v>2</v>
      </c>
      <c r="B6" s="5">
        <v>11.51</v>
      </c>
      <c r="C6" s="5">
        <f t="shared" si="0"/>
        <v>1.0299999999999994</v>
      </c>
      <c r="D6" s="5">
        <f t="shared" si="1"/>
        <v>9.24</v>
      </c>
      <c r="E6" s="44">
        <f t="shared" si="2"/>
        <v>1.1114718614718615</v>
      </c>
      <c r="F6" s="35">
        <f t="shared" si="3"/>
        <v>182.96570988256508</v>
      </c>
      <c r="G6" s="20">
        <f t="shared" ref="G6:G17" si="5">391.99543598175*E6</f>
        <v>435.69189691910958</v>
      </c>
      <c r="H6" s="5" t="s">
        <v>0</v>
      </c>
      <c r="I6" s="20">
        <v>440.00000000000051</v>
      </c>
      <c r="J6" s="35">
        <f t="shared" si="4"/>
        <v>17.034290117433986</v>
      </c>
    </row>
    <row r="7" spans="1:13">
      <c r="A7">
        <v>3</v>
      </c>
      <c r="B7" s="5">
        <v>11.09</v>
      </c>
      <c r="C7" s="5">
        <f t="shared" si="0"/>
        <v>1.4499999999999993</v>
      </c>
      <c r="D7" s="5">
        <f t="shared" si="1"/>
        <v>8.82</v>
      </c>
      <c r="E7" s="44">
        <f t="shared" si="2"/>
        <v>1.1643990929705215</v>
      </c>
      <c r="F7" s="35">
        <f t="shared" si="3"/>
        <v>263.50274491280931</v>
      </c>
      <c r="G7" s="20">
        <f t="shared" si="5"/>
        <v>456.4391301057338</v>
      </c>
      <c r="H7" s="5" t="s">
        <v>8</v>
      </c>
      <c r="I7" s="20">
        <v>466.1637615180905</v>
      </c>
      <c r="J7" s="35">
        <f t="shared" si="4"/>
        <v>36.497255087189657</v>
      </c>
    </row>
    <row r="8" spans="1:13">
      <c r="A8">
        <v>4</v>
      </c>
      <c r="B8" s="5">
        <v>10.63</v>
      </c>
      <c r="C8" s="5">
        <f t="shared" si="0"/>
        <v>1.9099999999999984</v>
      </c>
      <c r="D8" s="5">
        <f t="shared" si="1"/>
        <v>8.3600000000000012</v>
      </c>
      <c r="E8" s="44">
        <f t="shared" si="2"/>
        <v>1.2284688995215309</v>
      </c>
      <c r="F8" s="35">
        <f t="shared" si="3"/>
        <v>356.23360108477459</v>
      </c>
      <c r="G8" s="20">
        <f t="shared" si="5"/>
        <v>481.55420185796316</v>
      </c>
      <c r="H8" s="5" t="s">
        <v>9</v>
      </c>
      <c r="I8" s="20">
        <v>493.88330125612475</v>
      </c>
      <c r="J8" s="35">
        <f t="shared" si="4"/>
        <v>43.766398915224414</v>
      </c>
    </row>
    <row r="9" spans="1:13">
      <c r="A9">
        <v>5</v>
      </c>
      <c r="B9" s="5">
        <v>10.119999999999999</v>
      </c>
      <c r="C9" s="5">
        <f t="shared" si="0"/>
        <v>2.42</v>
      </c>
      <c r="D9" s="5">
        <f t="shared" si="1"/>
        <v>7.85</v>
      </c>
      <c r="E9" s="44">
        <f t="shared" si="2"/>
        <v>1.30828025477707</v>
      </c>
      <c r="F9" s="35">
        <f t="shared" si="3"/>
        <v>465.20594704704683</v>
      </c>
      <c r="G9" s="20">
        <f t="shared" si="5"/>
        <v>512.83988885765257</v>
      </c>
      <c r="H9" s="5" t="s">
        <v>29</v>
      </c>
      <c r="I9" s="20">
        <v>523.25113060119793</v>
      </c>
      <c r="J9" s="35">
        <f t="shared" si="4"/>
        <v>34.794052952952214</v>
      </c>
    </row>
    <row r="10" spans="1:13">
      <c r="A10">
        <v>6</v>
      </c>
      <c r="B10" s="5">
        <v>9.68</v>
      </c>
      <c r="C10" s="5">
        <f t="shared" si="0"/>
        <v>2.8599999999999994</v>
      </c>
      <c r="D10" s="5">
        <f t="shared" si="1"/>
        <v>7.41</v>
      </c>
      <c r="E10" s="44">
        <f t="shared" si="2"/>
        <v>1.3859649122807016</v>
      </c>
      <c r="F10" s="35">
        <f t="shared" si="3"/>
        <v>565.06888081483339</v>
      </c>
      <c r="G10" s="20">
        <f t="shared" si="5"/>
        <v>543.29192004488152</v>
      </c>
      <c r="H10" s="5" t="s">
        <v>10</v>
      </c>
      <c r="I10" s="20">
        <v>554.36526195374495</v>
      </c>
      <c r="J10" s="35">
        <f t="shared" si="4"/>
        <v>34.931119185165883</v>
      </c>
    </row>
    <row r="11" spans="1:13">
      <c r="A11">
        <v>7</v>
      </c>
      <c r="B11" s="5">
        <v>9.27</v>
      </c>
      <c r="C11" s="5">
        <f t="shared" si="0"/>
        <v>3.2699999999999996</v>
      </c>
      <c r="D11" s="5">
        <f t="shared" si="1"/>
        <v>7</v>
      </c>
      <c r="E11" s="44">
        <f t="shared" si="2"/>
        <v>1.4671428571428571</v>
      </c>
      <c r="F11" s="35">
        <f t="shared" si="3"/>
        <v>663.61122538303948</v>
      </c>
      <c r="G11" s="20">
        <f t="shared" si="5"/>
        <v>575.11330393322464</v>
      </c>
      <c r="H11" s="5" t="s">
        <v>11</v>
      </c>
      <c r="I11" s="20">
        <v>587.32953583481594</v>
      </c>
      <c r="J11" s="35">
        <f t="shared" si="4"/>
        <v>36.388774616959651</v>
      </c>
    </row>
    <row r="12" spans="1:13">
      <c r="A12">
        <v>8</v>
      </c>
      <c r="B12" s="5">
        <v>8.49</v>
      </c>
      <c r="C12" s="5">
        <f t="shared" si="0"/>
        <v>4.0499999999999989</v>
      </c>
      <c r="D12" s="5">
        <f t="shared" si="1"/>
        <v>6.2200000000000006</v>
      </c>
      <c r="E12" s="44">
        <f t="shared" si="2"/>
        <v>1.6511254019292603</v>
      </c>
      <c r="F12" s="35">
        <f t="shared" si="3"/>
        <v>868.1396354251109</v>
      </c>
      <c r="G12" s="20">
        <f t="shared" si="5"/>
        <v>647.23362178980256</v>
      </c>
      <c r="H12" s="5" t="s">
        <v>13</v>
      </c>
      <c r="I12" s="20">
        <v>659.25511382574086</v>
      </c>
      <c r="J12" s="35">
        <f t="shared" si="4"/>
        <v>31.860364574888862</v>
      </c>
    </row>
    <row r="13" spans="1:13">
      <c r="A13">
        <v>9</v>
      </c>
      <c r="B13" s="5">
        <v>8.19</v>
      </c>
      <c r="C13" s="5">
        <f t="shared" si="0"/>
        <v>4.3499999999999996</v>
      </c>
      <c r="D13" s="5">
        <f t="shared" si="1"/>
        <v>5.92</v>
      </c>
      <c r="E13" s="44">
        <f t="shared" si="2"/>
        <v>1.7347972972972971</v>
      </c>
      <c r="F13" s="35">
        <f t="shared" si="3"/>
        <v>953.72052082709411</v>
      </c>
      <c r="G13" s="20">
        <f t="shared" si="5"/>
        <v>680.03262289401562</v>
      </c>
      <c r="H13" s="5" t="s">
        <v>14</v>
      </c>
      <c r="I13" s="20">
        <v>698.45646286600891</v>
      </c>
      <c r="J13" s="35">
        <f t="shared" si="4"/>
        <v>46.279479172905177</v>
      </c>
    </row>
    <row r="14" spans="1:13">
      <c r="A14">
        <v>10</v>
      </c>
      <c r="B14" s="5">
        <v>7.88</v>
      </c>
      <c r="C14" s="5">
        <f t="shared" si="0"/>
        <v>4.6599999999999984</v>
      </c>
      <c r="D14" s="5">
        <f t="shared" si="1"/>
        <v>5.6100000000000012</v>
      </c>
      <c r="E14" s="44">
        <f t="shared" si="2"/>
        <v>1.830659536541889</v>
      </c>
      <c r="F14" s="35">
        <f t="shared" si="3"/>
        <v>1046.8362068512822</v>
      </c>
      <c r="G14" s="20">
        <f t="shared" si="5"/>
        <v>717.61018316088621</v>
      </c>
      <c r="H14" s="5" t="s">
        <v>15</v>
      </c>
      <c r="I14" s="20">
        <v>739.98884542327005</v>
      </c>
      <c r="J14" s="35">
        <f t="shared" si="4"/>
        <v>53.163793148717538</v>
      </c>
    </row>
    <row r="15" spans="1:13">
      <c r="A15">
        <v>11</v>
      </c>
      <c r="B15" s="5">
        <v>7.54</v>
      </c>
      <c r="C15" s="5">
        <f t="shared" si="0"/>
        <v>4.9999999999999982</v>
      </c>
      <c r="D15" s="5">
        <f t="shared" si="1"/>
        <v>5.2700000000000014</v>
      </c>
      <c r="E15" s="44">
        <f t="shared" si="2"/>
        <v>1.9487666034155593</v>
      </c>
      <c r="F15" s="35">
        <f t="shared" si="3"/>
        <v>1155.0735776171762</v>
      </c>
      <c r="G15" s="20">
        <f t="shared" si="5"/>
        <v>763.90761433255625</v>
      </c>
      <c r="H15" s="5" t="s">
        <v>16</v>
      </c>
      <c r="I15" s="20">
        <v>783.9908719634999</v>
      </c>
      <c r="J15" s="35">
        <f t="shared" si="4"/>
        <v>44.926422382823645</v>
      </c>
    </row>
    <row r="16" spans="1:13">
      <c r="A16">
        <v>12</v>
      </c>
      <c r="B16" s="5">
        <v>7.23</v>
      </c>
      <c r="C16" s="5">
        <f t="shared" si="0"/>
        <v>5.3099999999999987</v>
      </c>
      <c r="D16" s="5">
        <f t="shared" si="1"/>
        <v>4.9600000000000009</v>
      </c>
      <c r="E16" s="44">
        <f t="shared" si="2"/>
        <v>2.070564516129032</v>
      </c>
      <c r="F16" s="35">
        <f t="shared" si="3"/>
        <v>1260.0289871175835</v>
      </c>
      <c r="G16" s="20">
        <f t="shared" si="5"/>
        <v>811.65184022834114</v>
      </c>
      <c r="H16" s="5" t="s">
        <v>17</v>
      </c>
      <c r="I16" s="20">
        <v>830.60939515989173</v>
      </c>
      <c r="J16" s="35">
        <f t="shared" si="4"/>
        <v>39.971012882416211</v>
      </c>
    </row>
    <row r="17" spans="1:10">
      <c r="A17">
        <v>13</v>
      </c>
      <c r="B17" s="5">
        <v>6.95</v>
      </c>
      <c r="C17" s="5">
        <f t="shared" si="0"/>
        <v>5.5899999999999981</v>
      </c>
      <c r="D17" s="5">
        <f t="shared" si="1"/>
        <v>4.6800000000000015</v>
      </c>
      <c r="E17" s="44">
        <f t="shared" si="2"/>
        <v>2.1944444444444438</v>
      </c>
      <c r="F17" s="35">
        <f t="shared" si="3"/>
        <v>1360.6268960817481</v>
      </c>
      <c r="G17" s="20">
        <f t="shared" si="5"/>
        <v>860.21220673772893</v>
      </c>
      <c r="H17" s="5" t="s">
        <v>4</v>
      </c>
      <c r="I17" s="20">
        <v>880.00000000000159</v>
      </c>
      <c r="J17" s="35">
        <f t="shared" si="4"/>
        <v>39.373103918251687</v>
      </c>
    </row>
    <row r="18" spans="1:10">
      <c r="B18" s="5"/>
      <c r="C18" s="5"/>
      <c r="D18" s="5"/>
      <c r="E18" s="44"/>
      <c r="F18" s="35"/>
      <c r="G18" s="44"/>
      <c r="H18" s="5"/>
      <c r="I18" s="20"/>
      <c r="J18" s="35"/>
    </row>
    <row r="19" spans="1:10">
      <c r="H19" s="5"/>
      <c r="I19" s="20"/>
    </row>
    <row r="20" spans="1:10">
      <c r="A20" t="s">
        <v>118</v>
      </c>
    </row>
    <row r="21" spans="1:10">
      <c r="B21" s="5" t="s">
        <v>120</v>
      </c>
      <c r="C21" t="s">
        <v>122</v>
      </c>
      <c r="H21" s="5"/>
      <c r="I21" s="44"/>
    </row>
    <row r="22" spans="1:10">
      <c r="A22" s="41" t="s">
        <v>121</v>
      </c>
      <c r="B22" s="5">
        <v>12.54</v>
      </c>
      <c r="C22" s="5">
        <v>12.49</v>
      </c>
      <c r="H22" s="5"/>
      <c r="I22" s="44"/>
    </row>
    <row r="23" spans="1:10">
      <c r="A23">
        <v>1</v>
      </c>
      <c r="B23" s="5">
        <v>11.98</v>
      </c>
      <c r="C23" s="5">
        <v>11.91</v>
      </c>
    </row>
    <row r="24" spans="1:10">
      <c r="A24">
        <v>2</v>
      </c>
      <c r="B24" s="5">
        <v>11.51</v>
      </c>
      <c r="C24" s="5">
        <v>11.47</v>
      </c>
    </row>
    <row r="25" spans="1:10">
      <c r="A25">
        <v>3</v>
      </c>
      <c r="B25" s="5">
        <v>11.09</v>
      </c>
      <c r="C25" s="5">
        <v>11.06</v>
      </c>
    </row>
    <row r="26" spans="1:10">
      <c r="A26">
        <v>4</v>
      </c>
      <c r="B26" s="5">
        <v>10.63</v>
      </c>
      <c r="C26" s="5">
        <v>10.61</v>
      </c>
    </row>
    <row r="27" spans="1:10">
      <c r="A27">
        <v>5</v>
      </c>
      <c r="B27" s="5">
        <v>10.119999999999999</v>
      </c>
    </row>
    <row r="28" spans="1:10">
      <c r="A28">
        <v>6</v>
      </c>
      <c r="B28" s="5">
        <v>9.68</v>
      </c>
      <c r="C28" s="5">
        <v>9.65</v>
      </c>
    </row>
    <row r="29" spans="1:10">
      <c r="A29">
        <v>7</v>
      </c>
      <c r="B29" s="5">
        <v>9.27</v>
      </c>
      <c r="C29" s="5">
        <v>9.26</v>
      </c>
    </row>
    <row r="30" spans="1:10">
      <c r="A30">
        <v>8</v>
      </c>
      <c r="B30" s="5">
        <v>8.49</v>
      </c>
      <c r="C30" s="5">
        <v>8.4700000000000006</v>
      </c>
    </row>
    <row r="31" spans="1:10">
      <c r="A31">
        <v>9</v>
      </c>
      <c r="B31" s="5">
        <v>8.19</v>
      </c>
      <c r="C31" s="5">
        <v>8.16</v>
      </c>
    </row>
    <row r="32" spans="1:10">
      <c r="A32">
        <v>10</v>
      </c>
      <c r="B32" s="5">
        <v>7.88</v>
      </c>
      <c r="C32" s="5">
        <v>7.86</v>
      </c>
    </row>
    <row r="33" spans="1:3">
      <c r="A33">
        <v>11</v>
      </c>
      <c r="B33" s="5">
        <v>7.54</v>
      </c>
      <c r="C33" s="5">
        <v>7.52</v>
      </c>
    </row>
    <row r="34" spans="1:3">
      <c r="A34">
        <v>12</v>
      </c>
      <c r="B34" s="5">
        <v>7.23</v>
      </c>
      <c r="C34" s="5">
        <v>7.24</v>
      </c>
    </row>
    <row r="35" spans="1:3">
      <c r="A35">
        <v>13</v>
      </c>
      <c r="B35" s="5">
        <v>6.95</v>
      </c>
      <c r="C35" s="5">
        <v>6.93</v>
      </c>
    </row>
    <row r="36" spans="1:3">
      <c r="C36" s="5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3"/>
  <sheetViews>
    <sheetView topLeftCell="C1" workbookViewId="0">
      <selection activeCell="N5" sqref="N5"/>
    </sheetView>
  </sheetViews>
  <sheetFormatPr baseColWidth="10" defaultRowHeight="15"/>
  <cols>
    <col min="13" max="13" width="15.140625" customWidth="1"/>
    <col min="17" max="18" width="11.5703125" bestFit="1" customWidth="1"/>
    <col min="19" max="19" width="15.85546875" customWidth="1"/>
    <col min="20" max="20" width="12.5703125" bestFit="1" customWidth="1"/>
  </cols>
  <sheetData>
    <row r="1" spans="1:22">
      <c r="A1" t="s">
        <v>125</v>
      </c>
    </row>
    <row r="3" spans="1:22">
      <c r="C3" s="4" t="s">
        <v>114</v>
      </c>
      <c r="D3" s="4" t="s">
        <v>115</v>
      </c>
      <c r="E3" s="58" t="s">
        <v>116</v>
      </c>
      <c r="F3" s="6" t="s">
        <v>73</v>
      </c>
      <c r="G3" s="6" t="s">
        <v>19</v>
      </c>
      <c r="H3" s="6" t="s">
        <v>129</v>
      </c>
      <c r="I3" s="6" t="s">
        <v>7</v>
      </c>
      <c r="J3" s="6" t="s">
        <v>86</v>
      </c>
      <c r="K3" s="6" t="s">
        <v>132</v>
      </c>
      <c r="L3" s="6" t="s">
        <v>117</v>
      </c>
      <c r="R3" t="s">
        <v>114</v>
      </c>
    </row>
    <row r="4" spans="1:22">
      <c r="A4" s="41" t="s">
        <v>78</v>
      </c>
      <c r="B4" s="53" t="s">
        <v>119</v>
      </c>
      <c r="C4" s="59"/>
      <c r="D4" s="59"/>
      <c r="E4" s="59">
        <v>42.79</v>
      </c>
      <c r="F4" s="60">
        <f>42.79/E4</f>
        <v>1</v>
      </c>
      <c r="G4" s="61">
        <f>1200*LN(F4)/LN(2)</f>
        <v>0</v>
      </c>
      <c r="H4" s="60">
        <v>195.99771799087475</v>
      </c>
      <c r="I4" s="59" t="s">
        <v>16</v>
      </c>
      <c r="J4" s="60">
        <v>391.99543598174972</v>
      </c>
      <c r="K4" s="60">
        <f>J4/2</f>
        <v>195.99771799087486</v>
      </c>
      <c r="L4" s="61">
        <f>1200*LN(H4/K4)/LN(2)</f>
        <v>-9.6102795114447569E-13</v>
      </c>
      <c r="Q4" t="s">
        <v>123</v>
      </c>
      <c r="R4">
        <v>6.28</v>
      </c>
    </row>
    <row r="5" spans="1:22">
      <c r="A5" s="41" t="s">
        <v>128</v>
      </c>
      <c r="B5">
        <v>1</v>
      </c>
      <c r="C5" s="6">
        <v>46.64</v>
      </c>
      <c r="D5" s="6">
        <f>49.07-C5</f>
        <v>2.4299999999999997</v>
      </c>
      <c r="E5" s="6">
        <f xml:space="preserve"> 42.79-D5</f>
        <v>40.36</v>
      </c>
      <c r="F5" s="7">
        <f t="shared" ref="F5:F21" si="0">42.79/E5</f>
        <v>1.0602081268582755</v>
      </c>
      <c r="G5" s="30">
        <f t="shared" ref="G5:G21" si="1">1200*LN(F5)/LN(2)</f>
        <v>101.21700542055828</v>
      </c>
      <c r="H5" s="62">
        <f>F5*195.998</f>
        <v>207.79867244796827</v>
      </c>
      <c r="I5" s="9" t="s">
        <v>17</v>
      </c>
      <c r="J5" s="62">
        <v>415.30469757994558</v>
      </c>
      <c r="K5" s="60">
        <f t="shared" ref="K5:K21" si="2">J5/2</f>
        <v>207.65234878997279</v>
      </c>
      <c r="L5" s="61">
        <f t="shared" ref="L5:L21" si="3">1200*LN(H5/K5)/LN(2)</f>
        <v>1.2194963855214516</v>
      </c>
      <c r="Q5" t="s">
        <v>124</v>
      </c>
      <c r="R5">
        <v>49.07</v>
      </c>
    </row>
    <row r="6" spans="1:22">
      <c r="A6" s="41"/>
      <c r="B6">
        <v>2</v>
      </c>
      <c r="C6" s="6">
        <v>44.27</v>
      </c>
      <c r="D6" s="6">
        <f t="shared" ref="D6:D21" si="4">49.07-C6</f>
        <v>4.7999999999999972</v>
      </c>
      <c r="E6" s="6">
        <f t="shared" ref="E6:E21" si="5" xml:space="preserve"> 42.79-D6</f>
        <v>37.99</v>
      </c>
      <c r="F6" s="7">
        <f t="shared" si="0"/>
        <v>1.1263490392208475</v>
      </c>
      <c r="G6" s="30">
        <f t="shared" si="1"/>
        <v>205.98476035016</v>
      </c>
      <c r="H6" s="62">
        <f t="shared" ref="H6:H21" si="6">F6*195.998</f>
        <v>220.76215898920765</v>
      </c>
      <c r="I6" s="9" t="s">
        <v>0</v>
      </c>
      <c r="J6" s="62">
        <v>440.00000000000051</v>
      </c>
      <c r="K6" s="60">
        <f t="shared" si="2"/>
        <v>220.00000000000026</v>
      </c>
      <c r="L6" s="61">
        <f t="shared" si="3"/>
        <v>5.9872513151226556</v>
      </c>
      <c r="Q6" s="47" t="s">
        <v>113</v>
      </c>
      <c r="R6" s="47">
        <v>42.79</v>
      </c>
    </row>
    <row r="7" spans="1:22">
      <c r="A7" s="41"/>
      <c r="B7">
        <v>3</v>
      </c>
      <c r="C7" s="6">
        <v>42.14</v>
      </c>
      <c r="D7" s="6">
        <f t="shared" si="4"/>
        <v>6.93</v>
      </c>
      <c r="E7" s="6">
        <f t="shared" si="5"/>
        <v>35.86</v>
      </c>
      <c r="F7" s="7">
        <f t="shared" si="0"/>
        <v>1.1932515337423313</v>
      </c>
      <c r="G7" s="30">
        <f t="shared" si="1"/>
        <v>305.87782890613727</v>
      </c>
      <c r="H7" s="62">
        <f t="shared" si="6"/>
        <v>233.87491411042944</v>
      </c>
      <c r="I7" s="9" t="s">
        <v>8</v>
      </c>
      <c r="J7" s="62">
        <v>466.1637615180905</v>
      </c>
      <c r="K7" s="60">
        <f t="shared" si="2"/>
        <v>233.08188075904525</v>
      </c>
      <c r="L7" s="61">
        <f t="shared" si="3"/>
        <v>5.8803198711000775</v>
      </c>
    </row>
    <row r="8" spans="1:22">
      <c r="A8" s="41"/>
      <c r="B8">
        <v>4</v>
      </c>
      <c r="C8" s="6">
        <v>40.229999999999997</v>
      </c>
      <c r="D8" s="6">
        <f t="shared" si="4"/>
        <v>8.8400000000000034</v>
      </c>
      <c r="E8" s="6">
        <f t="shared" si="5"/>
        <v>33.949999999999996</v>
      </c>
      <c r="F8" s="7">
        <f t="shared" si="0"/>
        <v>1.2603829160530193</v>
      </c>
      <c r="G8" s="30">
        <f t="shared" si="1"/>
        <v>400.63452538967437</v>
      </c>
      <c r="H8" s="62">
        <f t="shared" si="6"/>
        <v>247.03253078055968</v>
      </c>
      <c r="I8" s="9" t="s">
        <v>9</v>
      </c>
      <c r="J8" s="62">
        <v>493.88330125612475</v>
      </c>
      <c r="K8" s="60">
        <f t="shared" si="2"/>
        <v>246.94165062806238</v>
      </c>
      <c r="L8" s="61">
        <f t="shared" si="3"/>
        <v>0.63701635463707273</v>
      </c>
      <c r="Q8" t="s">
        <v>126</v>
      </c>
    </row>
    <row r="9" spans="1:22">
      <c r="A9" s="41"/>
      <c r="B9">
        <v>5</v>
      </c>
      <c r="C9" s="6">
        <v>38.26</v>
      </c>
      <c r="D9" s="6">
        <f t="shared" si="4"/>
        <v>10.810000000000002</v>
      </c>
      <c r="E9" s="6">
        <f t="shared" si="5"/>
        <v>31.979999999999997</v>
      </c>
      <c r="F9" s="7">
        <f t="shared" si="0"/>
        <v>1.3380237648530333</v>
      </c>
      <c r="G9" s="30">
        <f t="shared" si="1"/>
        <v>504.12448817178881</v>
      </c>
      <c r="H9" s="62">
        <f t="shared" si="6"/>
        <v>262.2499818636648</v>
      </c>
      <c r="I9" s="9" t="s">
        <v>29</v>
      </c>
      <c r="J9" s="62">
        <v>523.25113060119793</v>
      </c>
      <c r="K9" s="60">
        <f t="shared" si="2"/>
        <v>261.62556530059896</v>
      </c>
      <c r="L9" s="61">
        <f t="shared" si="3"/>
        <v>4.126979136751399</v>
      </c>
      <c r="Q9" s="4" t="s">
        <v>78</v>
      </c>
      <c r="R9" s="4" t="s">
        <v>1</v>
      </c>
      <c r="S9" s="4"/>
      <c r="T9" s="4" t="s">
        <v>98</v>
      </c>
      <c r="U9" s="57" t="s">
        <v>127</v>
      </c>
    </row>
    <row r="10" spans="1:22">
      <c r="A10" s="41"/>
      <c r="B10">
        <v>6</v>
      </c>
      <c r="C10" s="6">
        <v>36.49</v>
      </c>
      <c r="D10" s="6">
        <f t="shared" si="4"/>
        <v>12.579999999999998</v>
      </c>
      <c r="E10" s="6">
        <f t="shared" si="5"/>
        <v>30.21</v>
      </c>
      <c r="F10" s="7">
        <f t="shared" si="0"/>
        <v>1.4164184045018204</v>
      </c>
      <c r="G10" s="30">
        <f t="shared" si="1"/>
        <v>602.69699387465789</v>
      </c>
      <c r="H10" s="62">
        <f t="shared" si="6"/>
        <v>277.61517444554778</v>
      </c>
      <c r="I10" s="9" t="s">
        <v>10</v>
      </c>
      <c r="J10" s="62">
        <v>554.36526195374495</v>
      </c>
      <c r="K10" s="60">
        <f t="shared" si="2"/>
        <v>277.18263097687247</v>
      </c>
      <c r="L10" s="61">
        <f t="shared" si="3"/>
        <v>2.6994848396202058</v>
      </c>
      <c r="M10" s="4" t="s">
        <v>130</v>
      </c>
      <c r="N10" s="4" t="s">
        <v>131</v>
      </c>
      <c r="O10" s="4" t="s">
        <v>109</v>
      </c>
      <c r="Q10" s="4"/>
      <c r="R10" s="6" t="s">
        <v>85</v>
      </c>
      <c r="S10" s="6" t="s">
        <v>86</v>
      </c>
      <c r="T10" s="6" t="s">
        <v>36</v>
      </c>
      <c r="U10" s="9" t="s">
        <v>36</v>
      </c>
    </row>
    <row r="11" spans="1:22">
      <c r="A11" s="53" t="s">
        <v>68</v>
      </c>
      <c r="B11" s="54">
        <v>7</v>
      </c>
      <c r="C11" s="59">
        <v>34.85</v>
      </c>
      <c r="D11" s="59">
        <f t="shared" si="4"/>
        <v>14.219999999999999</v>
      </c>
      <c r="E11" s="59">
        <f t="shared" si="5"/>
        <v>28.57</v>
      </c>
      <c r="F11" s="60">
        <f t="shared" si="0"/>
        <v>1.4977248862443122</v>
      </c>
      <c r="G11" s="61">
        <f t="shared" si="1"/>
        <v>699.32717122454085</v>
      </c>
      <c r="H11" s="62">
        <f t="shared" si="6"/>
        <v>293.55108225411271</v>
      </c>
      <c r="I11" s="59" t="s">
        <v>11</v>
      </c>
      <c r="J11" s="60">
        <v>587.32953583481594</v>
      </c>
      <c r="K11" s="60">
        <f t="shared" si="2"/>
        <v>293.66476791740797</v>
      </c>
      <c r="L11" s="61">
        <f t="shared" si="3"/>
        <v>-0.67033781049662655</v>
      </c>
      <c r="M11" s="63">
        <f>G11-699.33</f>
        <v>-2.8287754591929115E-3</v>
      </c>
      <c r="N11" s="6">
        <v>0</v>
      </c>
      <c r="O11" s="64">
        <f>N11-M11</f>
        <v>2.8287754591929115E-3</v>
      </c>
      <c r="Q11" s="52" t="s">
        <v>68</v>
      </c>
      <c r="R11" s="6">
        <v>294.7</v>
      </c>
      <c r="S11" s="30">
        <v>293.6647679174078</v>
      </c>
      <c r="T11" s="30">
        <v>6.092244054372375</v>
      </c>
      <c r="U11" s="6">
        <v>-0.67</v>
      </c>
      <c r="V11" s="35">
        <v>2.2440543723751816E-3</v>
      </c>
    </row>
    <row r="12" spans="1:22">
      <c r="A12" s="53" t="s">
        <v>79</v>
      </c>
      <c r="B12" s="54">
        <v>8</v>
      </c>
      <c r="C12" s="59">
        <v>31.79</v>
      </c>
      <c r="D12" s="59">
        <f t="shared" si="4"/>
        <v>17.28</v>
      </c>
      <c r="E12" s="59">
        <f t="shared" si="5"/>
        <v>25.509999999999998</v>
      </c>
      <c r="F12" s="60">
        <f t="shared" si="0"/>
        <v>1.6773814190513525</v>
      </c>
      <c r="G12" s="61">
        <f t="shared" si="1"/>
        <v>895.45293602522042</v>
      </c>
      <c r="H12" s="62">
        <f t="shared" si="6"/>
        <v>328.76340337122696</v>
      </c>
      <c r="I12" s="59" t="s">
        <v>13</v>
      </c>
      <c r="J12" s="60">
        <v>659.25511382574086</v>
      </c>
      <c r="K12" s="60">
        <f t="shared" si="2"/>
        <v>329.62755691287043</v>
      </c>
      <c r="L12" s="61">
        <f t="shared" si="3"/>
        <v>-4.5445730098173902</v>
      </c>
      <c r="M12" s="63">
        <f t="shared" ref="M12:M21" si="7">G12-699.33</f>
        <v>196.12293602522038</v>
      </c>
      <c r="N12" s="6">
        <v>204</v>
      </c>
      <c r="O12" s="64">
        <f t="shared" ref="O12:O21" si="8">N12-M12</f>
        <v>7.8770639747796167</v>
      </c>
      <c r="Q12" s="52" t="s">
        <v>79</v>
      </c>
      <c r="R12" s="6">
        <v>333.3</v>
      </c>
      <c r="S12" s="30">
        <v>329.62755691287026</v>
      </c>
      <c r="T12" s="30">
        <v>19.181352437869798</v>
      </c>
      <c r="U12" s="6">
        <v>-4.55</v>
      </c>
      <c r="V12" s="35">
        <v>13.091352437869798</v>
      </c>
    </row>
    <row r="13" spans="1:22">
      <c r="A13" s="41"/>
      <c r="B13">
        <v>9</v>
      </c>
      <c r="C13" s="6">
        <v>30.39</v>
      </c>
      <c r="D13" s="6">
        <f t="shared" si="4"/>
        <v>18.68</v>
      </c>
      <c r="E13" s="6">
        <f t="shared" si="5"/>
        <v>24.11</v>
      </c>
      <c r="F13" s="7">
        <f t="shared" si="0"/>
        <v>1.7747822480298632</v>
      </c>
      <c r="G13" s="30">
        <f t="shared" si="1"/>
        <v>993.17043362515574</v>
      </c>
      <c r="H13" s="62">
        <f t="shared" si="6"/>
        <v>347.85377104935708</v>
      </c>
      <c r="I13" s="9" t="s">
        <v>14</v>
      </c>
      <c r="J13" s="62">
        <v>698.45646286600891</v>
      </c>
      <c r="K13" s="60">
        <f t="shared" si="2"/>
        <v>349.22823143300445</v>
      </c>
      <c r="L13" s="61">
        <f t="shared" si="3"/>
        <v>-6.8270754098823785</v>
      </c>
      <c r="M13" s="30">
        <f t="shared" si="7"/>
        <v>293.8404336251557</v>
      </c>
      <c r="N13" s="6">
        <v>294</v>
      </c>
      <c r="O13" s="64">
        <f t="shared" si="8"/>
        <v>0.15956637484430303</v>
      </c>
      <c r="Q13" s="52" t="s">
        <v>80</v>
      </c>
      <c r="R13" s="6">
        <v>369.2</v>
      </c>
      <c r="S13" s="30">
        <v>369.9944227116348</v>
      </c>
      <c r="T13" s="30">
        <v>-3.7211649194991319</v>
      </c>
      <c r="U13" s="6">
        <v>-14.66</v>
      </c>
      <c r="V13" s="35">
        <v>-9.8111649194991308</v>
      </c>
    </row>
    <row r="14" spans="1:22">
      <c r="A14" s="41" t="s">
        <v>80</v>
      </c>
      <c r="B14">
        <v>10</v>
      </c>
      <c r="C14" s="6">
        <v>29.14</v>
      </c>
      <c r="D14" s="6">
        <f t="shared" si="4"/>
        <v>19.93</v>
      </c>
      <c r="E14" s="6">
        <f t="shared" si="5"/>
        <v>22.86</v>
      </c>
      <c r="F14" s="7">
        <f t="shared" si="0"/>
        <v>1.8718285214348207</v>
      </c>
      <c r="G14" s="30">
        <f t="shared" si="1"/>
        <v>1085.3379304908133</v>
      </c>
      <c r="H14" s="62">
        <f t="shared" si="6"/>
        <v>366.87464654418199</v>
      </c>
      <c r="I14" s="9" t="s">
        <v>15</v>
      </c>
      <c r="J14" s="62">
        <v>739.98884542327005</v>
      </c>
      <c r="K14" s="60">
        <f t="shared" si="2"/>
        <v>369.99442271163502</v>
      </c>
      <c r="L14" s="61">
        <f t="shared" si="3"/>
        <v>-14.659578544224873</v>
      </c>
      <c r="M14" s="63">
        <f t="shared" si="7"/>
        <v>386.00793049081324</v>
      </c>
      <c r="N14" s="6">
        <v>386</v>
      </c>
      <c r="O14" s="64">
        <f t="shared" si="8"/>
        <v>-7.9304908132371565E-3</v>
      </c>
      <c r="Q14" s="52" t="s">
        <v>81</v>
      </c>
      <c r="R14" s="6">
        <v>417.4</v>
      </c>
      <c r="S14" s="30">
        <v>415.30469757994558</v>
      </c>
      <c r="T14" s="30">
        <v>8.7124920973735733</v>
      </c>
      <c r="U14" s="6">
        <v>-13.31</v>
      </c>
      <c r="V14" s="35">
        <v>2.6224920973735735</v>
      </c>
    </row>
    <row r="15" spans="1:22">
      <c r="A15" s="41"/>
      <c r="B15">
        <v>11</v>
      </c>
      <c r="C15" s="6">
        <v>27.8</v>
      </c>
      <c r="D15" s="6">
        <f t="shared" si="4"/>
        <v>21.27</v>
      </c>
      <c r="E15" s="6">
        <f t="shared" si="5"/>
        <v>21.52</v>
      </c>
      <c r="F15" s="7">
        <f t="shared" si="0"/>
        <v>1.9883828996282529</v>
      </c>
      <c r="G15" s="30">
        <f t="shared" si="1"/>
        <v>1189.9147212802382</v>
      </c>
      <c r="H15" s="62">
        <f t="shared" si="6"/>
        <v>389.7190715613383</v>
      </c>
      <c r="I15" s="9" t="s">
        <v>16</v>
      </c>
      <c r="J15" s="62">
        <v>783.9908719634999</v>
      </c>
      <c r="K15" s="60">
        <f t="shared" si="2"/>
        <v>391.99543598174995</v>
      </c>
      <c r="L15" s="61">
        <f t="shared" si="3"/>
        <v>-10.082787754799835</v>
      </c>
      <c r="M15" s="30">
        <f t="shared" si="7"/>
        <v>490.58472128023811</v>
      </c>
      <c r="N15" s="6">
        <v>498</v>
      </c>
      <c r="O15" s="64">
        <f t="shared" si="8"/>
        <v>7.4152787197618864</v>
      </c>
      <c r="Q15" s="52" t="s">
        <v>82</v>
      </c>
      <c r="R15" s="6">
        <v>440.3</v>
      </c>
      <c r="S15" s="30">
        <v>440.00000000000051</v>
      </c>
      <c r="T15" s="30">
        <v>1.1799846298437737</v>
      </c>
      <c r="U15" s="6">
        <v>-21.59</v>
      </c>
      <c r="V15" s="35">
        <v>-4.9100153701562261</v>
      </c>
    </row>
    <row r="16" spans="1:22">
      <c r="A16" s="41" t="s">
        <v>81</v>
      </c>
      <c r="B16">
        <v>12</v>
      </c>
      <c r="C16" s="6">
        <v>26.63</v>
      </c>
      <c r="D16" s="6">
        <f t="shared" si="4"/>
        <v>22.44</v>
      </c>
      <c r="E16" s="6">
        <f t="shared" si="5"/>
        <v>20.349999999999998</v>
      </c>
      <c r="F16" s="7">
        <f t="shared" si="0"/>
        <v>2.102702702702703</v>
      </c>
      <c r="G16" s="30">
        <f t="shared" si="1"/>
        <v>1286.6938613638561</v>
      </c>
      <c r="H16" s="62">
        <f t="shared" si="6"/>
        <v>412.12552432432437</v>
      </c>
      <c r="I16" s="9" t="s">
        <v>17</v>
      </c>
      <c r="J16" s="62">
        <v>830.60939515989173</v>
      </c>
      <c r="K16" s="60">
        <f t="shared" si="2"/>
        <v>415.30469757994587</v>
      </c>
      <c r="L16" s="61">
        <f t="shared" si="3"/>
        <v>-13.303647671182137</v>
      </c>
      <c r="M16" s="63">
        <f t="shared" si="7"/>
        <v>587.36386136385602</v>
      </c>
      <c r="N16" s="6">
        <v>590</v>
      </c>
      <c r="O16" s="64">
        <f t="shared" si="8"/>
        <v>2.6361386361439827</v>
      </c>
      <c r="Q16" s="52" t="s">
        <v>83</v>
      </c>
      <c r="R16" s="6">
        <v>494.8</v>
      </c>
      <c r="S16" s="30">
        <v>493.88330125612475</v>
      </c>
      <c r="T16" s="30">
        <v>3.2103718772149472</v>
      </c>
      <c r="U16" s="6">
        <v>-38.19</v>
      </c>
      <c r="V16" s="35">
        <v>-2.8796281227850526</v>
      </c>
    </row>
    <row r="17" spans="1:22">
      <c r="A17" s="53" t="s">
        <v>82</v>
      </c>
      <c r="B17" s="54">
        <v>13</v>
      </c>
      <c r="C17" s="59">
        <v>25.58</v>
      </c>
      <c r="D17" s="59">
        <f t="shared" si="4"/>
        <v>23.490000000000002</v>
      </c>
      <c r="E17" s="59">
        <f t="shared" si="5"/>
        <v>19.299999999999997</v>
      </c>
      <c r="F17" s="60">
        <f t="shared" si="0"/>
        <v>2.2170984455958553</v>
      </c>
      <c r="G17" s="61">
        <f t="shared" si="1"/>
        <v>1378.4073977616561</v>
      </c>
      <c r="H17" s="62">
        <f t="shared" si="6"/>
        <v>434.54686113989641</v>
      </c>
      <c r="I17" s="59" t="s">
        <v>4</v>
      </c>
      <c r="J17" s="60">
        <v>880.00000000000159</v>
      </c>
      <c r="K17" s="60">
        <f t="shared" si="2"/>
        <v>440.0000000000008</v>
      </c>
      <c r="L17" s="61">
        <f t="shared" si="3"/>
        <v>-21.590111273382405</v>
      </c>
      <c r="M17" s="63">
        <f t="shared" si="7"/>
        <v>679.07739776165602</v>
      </c>
      <c r="N17" s="6">
        <v>702</v>
      </c>
      <c r="O17" s="64">
        <f t="shared" si="8"/>
        <v>22.922602238343984</v>
      </c>
      <c r="Q17" s="52" t="s">
        <v>84</v>
      </c>
      <c r="R17" s="6">
        <v>558.1</v>
      </c>
      <c r="S17" s="30">
        <v>554.36526195374495</v>
      </c>
      <c r="T17" s="30">
        <v>11.62414716598677</v>
      </c>
      <c r="U17" s="6">
        <v>-33.04</v>
      </c>
      <c r="V17" s="35">
        <v>5.53414716598677</v>
      </c>
    </row>
    <row r="18" spans="1:22">
      <c r="A18" s="53" t="s">
        <v>83</v>
      </c>
      <c r="B18" s="54">
        <v>14</v>
      </c>
      <c r="C18" s="59">
        <v>23.64</v>
      </c>
      <c r="D18" s="59">
        <f t="shared" si="4"/>
        <v>25.43</v>
      </c>
      <c r="E18" s="59">
        <f t="shared" si="5"/>
        <v>17.36</v>
      </c>
      <c r="F18" s="60">
        <f t="shared" si="0"/>
        <v>2.4648617511520738</v>
      </c>
      <c r="G18" s="61">
        <f t="shared" si="1"/>
        <v>1561.8080774148118</v>
      </c>
      <c r="H18" s="62">
        <f t="shared" si="6"/>
        <v>483.10797350230416</v>
      </c>
      <c r="I18" s="59" t="s">
        <v>9</v>
      </c>
      <c r="J18" s="60">
        <v>987.76660251225007</v>
      </c>
      <c r="K18" s="60">
        <f t="shared" si="2"/>
        <v>493.88330125612504</v>
      </c>
      <c r="L18" s="61">
        <f t="shared" si="3"/>
        <v>-38.189431620226429</v>
      </c>
      <c r="M18" s="63">
        <f t="shared" si="7"/>
        <v>862.47807741481176</v>
      </c>
      <c r="N18" s="6">
        <v>884</v>
      </c>
      <c r="O18" s="64">
        <f t="shared" si="8"/>
        <v>21.521922585188236</v>
      </c>
      <c r="Q18" s="52" t="s">
        <v>68</v>
      </c>
      <c r="R18" s="6">
        <v>592.6</v>
      </c>
      <c r="S18" s="30">
        <v>587.32953583481594</v>
      </c>
      <c r="T18" s="30">
        <v>15.466123059110215</v>
      </c>
      <c r="U18" s="6">
        <v>-34.869999999999997</v>
      </c>
      <c r="V18" s="35">
        <v>9.3761230591102152</v>
      </c>
    </row>
    <row r="19" spans="1:22">
      <c r="A19" s="41"/>
      <c r="B19">
        <v>15</v>
      </c>
      <c r="C19" s="6">
        <v>22.58</v>
      </c>
      <c r="D19" s="6">
        <f t="shared" si="4"/>
        <v>26.490000000000002</v>
      </c>
      <c r="E19" s="6">
        <f t="shared" si="5"/>
        <v>16.299999999999997</v>
      </c>
      <c r="F19" s="7">
        <f t="shared" si="0"/>
        <v>2.6251533742331294</v>
      </c>
      <c r="G19" s="30">
        <f t="shared" si="1"/>
        <v>1670.8820574060596</v>
      </c>
      <c r="H19" s="62">
        <f t="shared" si="6"/>
        <v>514.52481104294486</v>
      </c>
      <c r="I19" s="9" t="s">
        <v>30</v>
      </c>
      <c r="J19" s="62">
        <v>1046.5022612023965</v>
      </c>
      <c r="K19" s="60">
        <f t="shared" si="2"/>
        <v>523.25113060119827</v>
      </c>
      <c r="L19" s="61">
        <f t="shared" si="3"/>
        <v>-29.115451628978963</v>
      </c>
      <c r="M19" s="30">
        <f t="shared" si="7"/>
        <v>971.55205740605959</v>
      </c>
      <c r="N19" s="6">
        <v>996</v>
      </c>
      <c r="O19" s="64">
        <f t="shared" si="8"/>
        <v>24.447942593940411</v>
      </c>
    </row>
    <row r="20" spans="1:22">
      <c r="A20" s="41" t="s">
        <v>84</v>
      </c>
      <c r="B20">
        <v>16</v>
      </c>
      <c r="C20" s="6">
        <v>21.7</v>
      </c>
      <c r="D20" s="6">
        <f t="shared" si="4"/>
        <v>27.37</v>
      </c>
      <c r="E20" s="6">
        <f t="shared" si="5"/>
        <v>15.419999999999998</v>
      </c>
      <c r="F20" s="7">
        <f t="shared" si="0"/>
        <v>2.7749675745784699</v>
      </c>
      <c r="G20" s="30">
        <f t="shared" si="1"/>
        <v>1766.9650964501463</v>
      </c>
      <c r="H20" s="62">
        <f t="shared" si="6"/>
        <v>543.88809468223087</v>
      </c>
      <c r="I20" s="9" t="s">
        <v>10</v>
      </c>
      <c r="J20" s="62">
        <v>1108.7305239074906</v>
      </c>
      <c r="K20" s="60">
        <f t="shared" si="2"/>
        <v>554.36526195374529</v>
      </c>
      <c r="L20" s="61">
        <f t="shared" si="3"/>
        <v>-33.032412584892668</v>
      </c>
      <c r="M20" s="63">
        <f t="shared" si="7"/>
        <v>1067.6350964501462</v>
      </c>
      <c r="N20" s="6">
        <v>1088</v>
      </c>
      <c r="O20" s="64">
        <f t="shared" si="8"/>
        <v>20.364903549853807</v>
      </c>
    </row>
    <row r="21" spans="1:22">
      <c r="A21" s="41" t="s">
        <v>68</v>
      </c>
      <c r="B21">
        <v>17</v>
      </c>
      <c r="C21" s="6">
        <v>20.85</v>
      </c>
      <c r="D21" s="6">
        <f t="shared" si="4"/>
        <v>28.22</v>
      </c>
      <c r="E21" s="6">
        <f t="shared" si="5"/>
        <v>14.57</v>
      </c>
      <c r="F21" s="7">
        <f t="shared" si="0"/>
        <v>2.9368565545641729</v>
      </c>
      <c r="G21" s="30">
        <f t="shared" si="1"/>
        <v>1865.1273618707721</v>
      </c>
      <c r="H21" s="62">
        <f t="shared" si="6"/>
        <v>575.61801098146873</v>
      </c>
      <c r="I21" s="9" t="s">
        <v>11</v>
      </c>
      <c r="J21" s="62">
        <v>1174.6590716696326</v>
      </c>
      <c r="K21" s="60">
        <f t="shared" si="2"/>
        <v>587.32953583481628</v>
      </c>
      <c r="L21" s="61">
        <f t="shared" si="3"/>
        <v>-34.870147164266768</v>
      </c>
      <c r="M21" s="63">
        <f t="shared" si="7"/>
        <v>1165.797361870772</v>
      </c>
      <c r="N21" s="6">
        <v>1200</v>
      </c>
      <c r="O21" s="64">
        <f t="shared" si="8"/>
        <v>34.202638129228035</v>
      </c>
    </row>
    <row r="22" spans="1:22">
      <c r="H22" s="56"/>
      <c r="I22" s="56"/>
      <c r="J22" s="56"/>
      <c r="K22" s="56"/>
      <c r="L22" s="55"/>
      <c r="O22" t="s">
        <v>136</v>
      </c>
    </row>
    <row r="23" spans="1:22">
      <c r="H23" s="56"/>
      <c r="I23" s="56"/>
      <c r="J23" s="56"/>
      <c r="K23" s="56"/>
      <c r="L23" s="55"/>
      <c r="O23" t="s">
        <v>135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Grundrechnugen</vt:lpstr>
      <vt:lpstr>shruti</vt:lpstr>
      <vt:lpstr>Kalyana</vt:lpstr>
      <vt:lpstr>Sitarmessungen</vt:lpstr>
      <vt:lpstr>anoushka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Wolfgang Martin Stroh</cp:lastModifiedBy>
  <dcterms:created xsi:type="dcterms:W3CDTF">2021-01-12T12:30:26Z</dcterms:created>
  <dcterms:modified xsi:type="dcterms:W3CDTF">2021-05-14T12:53:52Z</dcterms:modified>
</cp:coreProperties>
</file>